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5" windowWidth="14235" windowHeight="3915"/>
  </bookViews>
  <sheets>
    <sheet name="Oferta" sheetId="1" r:id="rId1"/>
    <sheet name="Plata" sheetId="4" r:id="rId2"/>
    <sheet name="Date" sheetId="2" r:id="rId3"/>
  </sheets>
  <definedNames>
    <definedName name="_xlnm._FilterDatabase" localSheetId="0" hidden="1">Oferta!$A$1:$J$68</definedName>
    <definedName name="_xlnm._FilterDatabase" localSheetId="1" hidden="1">Plata!$A$1:$J$73</definedName>
    <definedName name="_xlnm.Criteria" localSheetId="0">Oferta!$I$19</definedName>
    <definedName name="_xlnm.Criteria" localSheetId="1">Plata!$I$19</definedName>
    <definedName name="_xlnm.Print_Area" localSheetId="1">Plata!$A$1:$H$62</definedName>
  </definedNames>
  <calcPr calcId="145621"/>
</workbook>
</file>

<file path=xl/calcChain.xml><?xml version="1.0" encoding="utf-8"?>
<calcChain xmlns="http://schemas.openxmlformats.org/spreadsheetml/2006/main">
  <c r="C23" i="2" l="1"/>
  <c r="C25" i="2"/>
  <c r="C27" i="2"/>
  <c r="C29" i="2"/>
  <c r="C31" i="2"/>
  <c r="B32" i="2"/>
  <c r="D19" i="1"/>
  <c r="C33" i="2"/>
  <c r="C35" i="2"/>
  <c r="B38" i="2"/>
  <c r="C53" i="1" s="1"/>
  <c r="C52" i="4"/>
  <c r="C53" i="4"/>
  <c r="I2" i="1"/>
  <c r="I3" i="1"/>
  <c r="I4" i="1"/>
  <c r="I5" i="1"/>
  <c r="I6" i="1"/>
  <c r="I7" i="1"/>
  <c r="I8" i="1"/>
  <c r="A9" i="1"/>
  <c r="B9" i="1"/>
  <c r="I9" i="1"/>
  <c r="A10" i="1"/>
  <c r="B10" i="1"/>
  <c r="I10" i="1"/>
  <c r="A11" i="1"/>
  <c r="B11" i="1"/>
  <c r="I11" i="1"/>
  <c r="A12" i="1"/>
  <c r="B12" i="1"/>
  <c r="I12" i="1"/>
  <c r="A13" i="1"/>
  <c r="B13" i="1"/>
  <c r="I13" i="1"/>
  <c r="A14" i="1"/>
  <c r="B14" i="1"/>
  <c r="I14" i="1"/>
  <c r="A15" i="1"/>
  <c r="B15" i="1"/>
  <c r="I15" i="1"/>
  <c r="D24" i="1"/>
  <c r="H24" i="1" s="1"/>
  <c r="C25" i="1"/>
  <c r="D25" i="1"/>
  <c r="H25" i="1"/>
  <c r="I25" i="1" s="1"/>
  <c r="D26" i="1"/>
  <c r="E26" i="1"/>
  <c r="F26" i="1"/>
  <c r="A28" i="1"/>
  <c r="C28" i="1"/>
  <c r="A29" i="1"/>
  <c r="C29" i="1"/>
  <c r="A30" i="1"/>
  <c r="C30" i="1"/>
  <c r="A31" i="1"/>
  <c r="C31" i="1"/>
  <c r="A32" i="1"/>
  <c r="C32" i="1"/>
  <c r="A33" i="1"/>
  <c r="C33" i="1"/>
  <c r="A34" i="1"/>
  <c r="C34" i="1"/>
  <c r="A35" i="1"/>
  <c r="C35" i="1"/>
  <c r="A36" i="1"/>
  <c r="C36" i="1"/>
  <c r="A39" i="1"/>
  <c r="C39" i="1"/>
  <c r="I40" i="1"/>
  <c r="A41" i="1"/>
  <c r="C41" i="1"/>
  <c r="I41" i="1"/>
  <c r="A42" i="1"/>
  <c r="C42" i="1"/>
  <c r="I42" i="1"/>
  <c r="A43" i="1"/>
  <c r="C43" i="1"/>
  <c r="I43" i="1"/>
  <c r="A44" i="1"/>
  <c r="C44" i="1"/>
  <c r="I44" i="1"/>
  <c r="A45" i="1"/>
  <c r="C45" i="1"/>
  <c r="I45" i="1"/>
  <c r="A46" i="1"/>
  <c r="C46" i="1"/>
  <c r="I46" i="1"/>
  <c r="A47" i="1"/>
  <c r="C47" i="1"/>
  <c r="I47" i="1"/>
  <c r="A48" i="1"/>
  <c r="C48" i="1"/>
  <c r="I48" i="1"/>
  <c r="A49" i="1"/>
  <c r="C49" i="1"/>
  <c r="I49" i="1"/>
  <c r="I50" i="1"/>
  <c r="A51" i="1"/>
  <c r="C51" i="1"/>
  <c r="C52" i="1"/>
  <c r="D52" i="1"/>
  <c r="H52" i="1" s="1"/>
  <c r="I52" i="1" s="1"/>
  <c r="D53" i="1"/>
  <c r="H53" i="1" s="1"/>
  <c r="I53" i="1" s="1"/>
  <c r="I2" i="4"/>
  <c r="I3" i="4"/>
  <c r="I4" i="4"/>
  <c r="I5" i="4"/>
  <c r="I6" i="4"/>
  <c r="I7" i="4"/>
  <c r="I8" i="4"/>
  <c r="A9" i="4"/>
  <c r="B9" i="4"/>
  <c r="I9" i="4"/>
  <c r="A10" i="4"/>
  <c r="B10" i="4"/>
  <c r="I10" i="4"/>
  <c r="A11" i="4"/>
  <c r="B11" i="4"/>
  <c r="I11" i="4"/>
  <c r="A12" i="4"/>
  <c r="B12" i="4"/>
  <c r="I12" i="4"/>
  <c r="A13" i="4"/>
  <c r="B13" i="4"/>
  <c r="I13" i="4"/>
  <c r="A14" i="4"/>
  <c r="B14" i="4"/>
  <c r="I14" i="4"/>
  <c r="A15" i="4"/>
  <c r="B15" i="4"/>
  <c r="I15" i="4"/>
  <c r="D24" i="4"/>
  <c r="H24" i="4" s="1"/>
  <c r="I24" i="4" s="1"/>
  <c r="C25" i="4"/>
  <c r="D25" i="4"/>
  <c r="H25" i="4"/>
  <c r="I25" i="4" s="1"/>
  <c r="D26" i="4"/>
  <c r="E26" i="4"/>
  <c r="F26" i="4"/>
  <c r="A28" i="4"/>
  <c r="C28" i="4"/>
  <c r="A29" i="4"/>
  <c r="C29" i="4"/>
  <c r="A30" i="4"/>
  <c r="C30" i="4"/>
  <c r="A31" i="4"/>
  <c r="C31" i="4"/>
  <c r="A32" i="4"/>
  <c r="C32" i="4"/>
  <c r="A33" i="4"/>
  <c r="C33" i="4"/>
  <c r="A34" i="4"/>
  <c r="C34" i="4"/>
  <c r="A35" i="4"/>
  <c r="C35" i="4"/>
  <c r="A36" i="4"/>
  <c r="C36" i="4"/>
  <c r="G38" i="4"/>
  <c r="A39" i="4"/>
  <c r="C39" i="4"/>
  <c r="I40" i="4"/>
  <c r="A41" i="4"/>
  <c r="C41" i="4"/>
  <c r="I41" i="4"/>
  <c r="A42" i="4"/>
  <c r="C42" i="4"/>
  <c r="I42" i="4"/>
  <c r="A43" i="4"/>
  <c r="C43" i="4"/>
  <c r="I43" i="4"/>
  <c r="A44" i="4"/>
  <c r="C44" i="4"/>
  <c r="I44" i="4"/>
  <c r="A45" i="4"/>
  <c r="C45" i="4"/>
  <c r="I45" i="4"/>
  <c r="A46" i="4"/>
  <c r="C46" i="4"/>
  <c r="I46" i="4"/>
  <c r="A47" i="4"/>
  <c r="C47" i="4"/>
  <c r="I47" i="4"/>
  <c r="A48" i="4"/>
  <c r="C48" i="4"/>
  <c r="I48" i="4"/>
  <c r="A49" i="4"/>
  <c r="C49" i="4"/>
  <c r="I49" i="4"/>
  <c r="I50" i="4"/>
  <c r="A51" i="4"/>
  <c r="C51" i="4"/>
  <c r="C55" i="4"/>
  <c r="I55" i="4"/>
  <c r="A56" i="4"/>
  <c r="C56" i="4"/>
  <c r="A58" i="4"/>
  <c r="C58" i="4"/>
  <c r="D53" i="4"/>
  <c r="H53" i="4" s="1"/>
  <c r="I53" i="4" s="1"/>
  <c r="D52" i="4"/>
  <c r="H52" i="4" s="1"/>
  <c r="I52" i="4" s="1"/>
  <c r="D19" i="4"/>
  <c r="F22" i="4"/>
  <c r="F22" i="1"/>
  <c r="F19" i="1"/>
  <c r="F23" i="1" s="1"/>
  <c r="F21" i="4"/>
  <c r="F21" i="1"/>
  <c r="E19" i="1"/>
  <c r="G19" i="4"/>
  <c r="H19" i="4" s="1"/>
  <c r="G19" i="1"/>
  <c r="E19" i="4"/>
  <c r="F19" i="4"/>
  <c r="F38" i="4" s="1"/>
  <c r="G38" i="1"/>
  <c r="G26" i="4" l="1"/>
  <c r="G26" i="1"/>
  <c r="I26" i="1" s="1"/>
  <c r="D36" i="1"/>
  <c r="H36" i="1" s="1"/>
  <c r="I36" i="1" s="1"/>
  <c r="I24" i="1"/>
  <c r="H19" i="1"/>
  <c r="F23" i="4"/>
  <c r="F38" i="1"/>
  <c r="E28" i="4"/>
  <c r="E32" i="4" s="1"/>
  <c r="H32" i="4" s="1"/>
  <c r="I32" i="4" s="1"/>
  <c r="E28" i="1"/>
  <c r="E31" i="1" s="1"/>
  <c r="H31" i="1" s="1"/>
  <c r="I31" i="1" s="1"/>
  <c r="I26" i="4"/>
  <c r="D36" i="4"/>
  <c r="H36" i="4" s="1"/>
  <c r="I36" i="4" s="1"/>
  <c r="D38" i="1"/>
  <c r="E29" i="1"/>
  <c r="H29" i="1" s="1"/>
  <c r="I29" i="1" s="1"/>
  <c r="E29" i="4" l="1"/>
  <c r="E33" i="4"/>
  <c r="H33" i="4" s="1"/>
  <c r="I33" i="4" s="1"/>
  <c r="E34" i="1"/>
  <c r="H34" i="1" s="1"/>
  <c r="I34" i="1" s="1"/>
  <c r="E35" i="4"/>
  <c r="H35" i="4" s="1"/>
  <c r="I35" i="4" s="1"/>
  <c r="E30" i="1"/>
  <c r="H30" i="1" s="1"/>
  <c r="I30" i="1" s="1"/>
  <c r="D38" i="4"/>
  <c r="E32" i="1"/>
  <c r="H32" i="1" s="1"/>
  <c r="I32" i="1" s="1"/>
  <c r="H28" i="1"/>
  <c r="I28" i="1" s="1"/>
  <c r="E33" i="1"/>
  <c r="H33" i="1" s="1"/>
  <c r="I33" i="1" s="1"/>
  <c r="E35" i="1"/>
  <c r="H35" i="1" s="1"/>
  <c r="I35" i="1" s="1"/>
  <c r="E34" i="4"/>
  <c r="H34" i="4" s="1"/>
  <c r="I34" i="4" s="1"/>
  <c r="H28" i="4"/>
  <c r="I28" i="4" s="1"/>
  <c r="E31" i="4"/>
  <c r="H31" i="4" s="1"/>
  <c r="I31" i="4" s="1"/>
  <c r="E30" i="4"/>
  <c r="H30" i="4" s="1"/>
  <c r="I30" i="4" s="1"/>
  <c r="H29" i="4"/>
  <c r="I29" i="4" s="1"/>
  <c r="E38" i="1" l="1"/>
  <c r="H41" i="1" s="1"/>
  <c r="H38" i="1"/>
  <c r="H39" i="1" s="1"/>
  <c r="E38" i="4"/>
  <c r="H41" i="4" s="1"/>
  <c r="H42" i="1" l="1"/>
  <c r="H47" i="1" s="1"/>
  <c r="H38" i="4"/>
  <c r="H39" i="4" s="1"/>
  <c r="H51" i="4" s="1"/>
  <c r="H54" i="4" s="1"/>
  <c r="H55" i="4" s="1"/>
  <c r="H43" i="1"/>
  <c r="H44" i="1"/>
  <c r="H48" i="1"/>
  <c r="H46" i="1"/>
  <c r="H45" i="1"/>
  <c r="H49" i="1"/>
  <c r="H51" i="1"/>
  <c r="H54" i="1" s="1"/>
  <c r="H42" i="4" l="1"/>
  <c r="H48" i="4" s="1"/>
  <c r="H46" i="4"/>
  <c r="H47" i="4"/>
  <c r="H45" i="4"/>
  <c r="H43" i="4"/>
  <c r="H49" i="4"/>
  <c r="H50" i="1"/>
  <c r="H56" i="4"/>
  <c r="H57" i="4" s="1"/>
  <c r="H44" i="4"/>
  <c r="H50" i="4" l="1"/>
  <c r="H58" i="4"/>
  <c r="H59" i="4" s="1"/>
</calcChain>
</file>

<file path=xl/sharedStrings.xml><?xml version="1.0" encoding="utf-8"?>
<sst xmlns="http://schemas.openxmlformats.org/spreadsheetml/2006/main" count="399" uniqueCount="156">
  <si>
    <t>Explicatii</t>
  </si>
  <si>
    <r>
      <t xml:space="preserve">Material </t>
    </r>
    <r>
      <rPr>
        <b/>
        <i/>
        <sz val="10"/>
        <rFont val="Arial"/>
        <family val="2"/>
      </rPr>
      <t>pret oferta</t>
    </r>
  </si>
  <si>
    <t>Valoare</t>
  </si>
  <si>
    <r>
      <t xml:space="preserve">Manopera </t>
    </r>
    <r>
      <rPr>
        <b/>
        <i/>
        <sz val="10"/>
        <rFont val="Arial"/>
        <family val="2"/>
      </rPr>
      <t>pret oferta</t>
    </r>
  </si>
  <si>
    <r>
      <t xml:space="preserve">Utilaj </t>
    </r>
    <r>
      <rPr>
        <b/>
        <i/>
        <sz val="10"/>
        <rFont val="Arial"/>
        <family val="2"/>
      </rPr>
      <t>pret oferta</t>
    </r>
  </si>
  <si>
    <r>
      <t xml:space="preserve">Transport AUTO </t>
    </r>
    <r>
      <rPr>
        <b/>
        <i/>
        <sz val="10"/>
        <rFont val="Arial"/>
        <family val="2"/>
      </rPr>
      <t>pret oferta</t>
    </r>
  </si>
  <si>
    <r>
      <t xml:space="preserve">Transport CF </t>
    </r>
    <r>
      <rPr>
        <b/>
        <i/>
        <sz val="10"/>
        <rFont val="Arial"/>
        <family val="2"/>
      </rPr>
      <t>pret oferta</t>
    </r>
  </si>
  <si>
    <r>
      <t xml:space="preserve">Material beneficiar </t>
    </r>
    <r>
      <rPr>
        <b/>
        <i/>
        <sz val="10"/>
        <rFont val="Arial"/>
        <family val="2"/>
      </rPr>
      <t>pret oferta</t>
    </r>
  </si>
  <si>
    <r>
      <t xml:space="preserve">Material demontat-remontat </t>
    </r>
    <r>
      <rPr>
        <b/>
        <i/>
        <sz val="10"/>
        <rFont val="Arial"/>
        <family val="2"/>
      </rPr>
      <t>pret oferta</t>
    </r>
  </si>
  <si>
    <r>
      <t xml:space="preserve">Material </t>
    </r>
    <r>
      <rPr>
        <b/>
        <i/>
        <sz val="10"/>
        <rFont val="Arial"/>
        <family val="2"/>
      </rPr>
      <t>pret plata</t>
    </r>
  </si>
  <si>
    <r>
      <t xml:space="preserve">Manopera </t>
    </r>
    <r>
      <rPr>
        <b/>
        <i/>
        <sz val="10"/>
        <rFont val="Arial"/>
        <family val="2"/>
      </rPr>
      <t>pret plata</t>
    </r>
  </si>
  <si>
    <r>
      <t xml:space="preserve">Utilaj </t>
    </r>
    <r>
      <rPr>
        <b/>
        <i/>
        <sz val="10"/>
        <rFont val="Arial"/>
        <family val="2"/>
      </rPr>
      <t>pret plata</t>
    </r>
  </si>
  <si>
    <r>
      <t xml:space="preserve">Transport AUTO </t>
    </r>
    <r>
      <rPr>
        <b/>
        <i/>
        <sz val="10"/>
        <rFont val="Arial"/>
        <family val="2"/>
      </rPr>
      <t>pret plata</t>
    </r>
  </si>
  <si>
    <r>
      <t xml:space="preserve">Transport CF </t>
    </r>
    <r>
      <rPr>
        <b/>
        <i/>
        <sz val="10"/>
        <rFont val="Arial"/>
        <family val="2"/>
      </rPr>
      <t>pret plata</t>
    </r>
  </si>
  <si>
    <r>
      <t xml:space="preserve">Material beneficiar </t>
    </r>
    <r>
      <rPr>
        <b/>
        <i/>
        <sz val="10"/>
        <rFont val="Arial"/>
        <family val="2"/>
      </rPr>
      <t>pret plata</t>
    </r>
  </si>
  <si>
    <r>
      <t xml:space="preserve">Material demontat-remontat </t>
    </r>
    <r>
      <rPr>
        <b/>
        <i/>
        <sz val="10"/>
        <rFont val="Arial"/>
        <family val="2"/>
      </rPr>
      <t>pret plata</t>
    </r>
  </si>
  <si>
    <t>Material</t>
  </si>
  <si>
    <t>Manopera</t>
  </si>
  <si>
    <t>Utilaj</t>
  </si>
  <si>
    <t>Total</t>
  </si>
  <si>
    <t>Ore manopera</t>
  </si>
  <si>
    <t>Greutate (T)</t>
  </si>
  <si>
    <t>Mat.ben se scade din total A/General [A/G]</t>
  </si>
  <si>
    <t xml:space="preserve">Explicitez cheltuielile generale ?       [D/N] </t>
  </si>
  <si>
    <t>N</t>
  </si>
  <si>
    <t>Executant</t>
  </si>
  <si>
    <t>Obiect</t>
  </si>
  <si>
    <t>Categorie</t>
  </si>
  <si>
    <t>a1</t>
  </si>
  <si>
    <t>b1</t>
  </si>
  <si>
    <t>c1</t>
  </si>
  <si>
    <t>d1</t>
  </si>
  <si>
    <t>e1</t>
  </si>
  <si>
    <t>f1</t>
  </si>
  <si>
    <t>Afisez</t>
  </si>
  <si>
    <t>Recapitulatie</t>
  </si>
  <si>
    <t>Constructor,</t>
  </si>
  <si>
    <t>Beneficiar,</t>
  </si>
  <si>
    <t>Afisare</t>
  </si>
  <si>
    <t>G</t>
  </si>
  <si>
    <r>
      <t xml:space="preserve">Alte transporturi </t>
    </r>
    <r>
      <rPr>
        <b/>
        <i/>
        <sz val="10"/>
        <rFont val="Arial"/>
        <family val="2"/>
      </rPr>
      <t>pret plata</t>
    </r>
  </si>
  <si>
    <r>
      <t xml:space="preserve">Alte transporturi </t>
    </r>
    <r>
      <rPr>
        <b/>
        <i/>
        <sz val="10"/>
        <rFont val="Arial"/>
        <family val="2"/>
      </rPr>
      <t>pret oferta</t>
    </r>
  </si>
  <si>
    <t>Curs</t>
  </si>
  <si>
    <t>Moneda</t>
  </si>
  <si>
    <t>Ordin de marime:(lei,mii,milioane)</t>
  </si>
  <si>
    <t>lnOri</t>
  </si>
  <si>
    <t>lin/pag</t>
  </si>
  <si>
    <t>Acc. munca, boli profes.</t>
  </si>
  <si>
    <t>Chelt.tr.aprov.,depozit.</t>
  </si>
  <si>
    <t>Coef.mat.demontat-remont</t>
  </si>
  <si>
    <t>Pondere man.in chelt.uti</t>
  </si>
  <si>
    <t>Pondere man.in chelt.tr.</t>
  </si>
  <si>
    <t>M</t>
  </si>
  <si>
    <t>m</t>
  </si>
  <si>
    <t>U</t>
  </si>
  <si>
    <t>Cheltuieli directe</t>
  </si>
  <si>
    <t>Transport</t>
  </si>
  <si>
    <t>t</t>
  </si>
  <si>
    <t>T</t>
  </si>
  <si>
    <t xml:space="preserve">  din care utilaje</t>
  </si>
  <si>
    <t xml:space="preserve">  - Vut termice</t>
  </si>
  <si>
    <t xml:space="preserve">  - Vut electrice</t>
  </si>
  <si>
    <t xml:space="preserve">  - Vut altele</t>
  </si>
  <si>
    <t>Factor multiplicare</t>
  </si>
  <si>
    <t>Alte cheltuieli directe</t>
  </si>
  <si>
    <t>TOTAL CHELT. DIRECTE</t>
  </si>
  <si>
    <t>Mo</t>
  </si>
  <si>
    <t>mo</t>
  </si>
  <si>
    <t>Uo</t>
  </si>
  <si>
    <t>to</t>
  </si>
  <si>
    <t>To</t>
  </si>
  <si>
    <t>Io =</t>
  </si>
  <si>
    <t>Po =</t>
  </si>
  <si>
    <t>Vo =</t>
  </si>
  <si>
    <t>TOTAL GENERAL categorie</t>
  </si>
  <si>
    <t>To+Io+Po</t>
  </si>
  <si>
    <t>x To</t>
  </si>
  <si>
    <t>x (To+Io)</t>
  </si>
  <si>
    <t>Utilaje termice</t>
  </si>
  <si>
    <t>Utilaje electrice</t>
  </si>
  <si>
    <t xml:space="preserve"> Material beneficiar</t>
  </si>
  <si>
    <t xml:space="preserve"> Mat. demontat-remont.</t>
  </si>
  <si>
    <t xml:space="preserve">  din care</t>
  </si>
  <si>
    <t>x (a+b)</t>
  </si>
  <si>
    <t>x (To-(CAS+CASS+Aj.somaj+Acc.munca+Fd.invat.))</t>
  </si>
  <si>
    <t>x (mo-(CAS+CASS+Aj.somaj+Acc.munca+Fd.invat.))</t>
  </si>
  <si>
    <t>Ofertant,</t>
  </si>
  <si>
    <t>Valoare (in preturi oferta)</t>
  </si>
  <si>
    <t>Valoare (actualizata)</t>
  </si>
  <si>
    <t>Total fara TVA</t>
  </si>
  <si>
    <t>TOTAL GENERAL situatie lucrari</t>
  </si>
  <si>
    <t>OS =</t>
  </si>
  <si>
    <t>TVA=</t>
  </si>
  <si>
    <t>x V</t>
  </si>
  <si>
    <t>x (V+OS)</t>
  </si>
  <si>
    <t>Coeficient actualizare plata</t>
  </si>
  <si>
    <t>Separator zecimal</t>
  </si>
  <si>
    <t>V =</t>
  </si>
  <si>
    <t>j-Alte cheltuieli indirecte</t>
  </si>
  <si>
    <t>Io-(a+b+c+d+e+f+g+h+i)</t>
  </si>
  <si>
    <t>Antet</t>
  </si>
  <si>
    <t>proiectant</t>
  </si>
  <si>
    <t xml:space="preserve">C.A.S.S.                </t>
  </si>
  <si>
    <t xml:space="preserve">Impozit manopera        </t>
  </si>
  <si>
    <t xml:space="preserve">Coef.maj. pret material </t>
  </si>
  <si>
    <t xml:space="preserve">Coef.maj. pret tr. auto </t>
  </si>
  <si>
    <t xml:space="preserve">Coef.maj. pret tr. C.F. </t>
  </si>
  <si>
    <t xml:space="preserve">Transport lei/tona      </t>
  </si>
  <si>
    <t xml:space="preserve">Coef.maj. pret manopera </t>
  </si>
  <si>
    <t xml:space="preserve">Coef.maj. pret utilaj   </t>
  </si>
  <si>
    <t xml:space="preserve">Coef.actualiz.inflatie  </t>
  </si>
  <si>
    <t xml:space="preserve">Salarii maistri         </t>
  </si>
  <si>
    <t xml:space="preserve">C.A.S.                  </t>
  </si>
  <si>
    <t xml:space="preserve">Cheltuieli indirecte    </t>
  </si>
  <si>
    <t xml:space="preserve">Manopera indirecta      </t>
  </si>
  <si>
    <t xml:space="preserve">Aj.somaj                </t>
  </si>
  <si>
    <t xml:space="preserve">                        </t>
  </si>
  <si>
    <t xml:space="preserve">Profit                  </t>
  </si>
  <si>
    <t xml:space="preserve">T.V.A.                  </t>
  </si>
  <si>
    <t xml:space="preserve">Coef.neacop.manopera    </t>
  </si>
  <si>
    <t xml:space="preserve">Organizare de santier   </t>
  </si>
  <si>
    <t xml:space="preserve">Comision ITM            </t>
  </si>
  <si>
    <t xml:space="preserve">Fond garantare          </t>
  </si>
  <si>
    <t xml:space="preserve">C.C.I                   </t>
  </si>
  <si>
    <t xml:space="preserve">Diverse si neprevazute  </t>
  </si>
  <si>
    <t xml:space="preserve">Proiectare              </t>
  </si>
  <si>
    <t xml:space="preserve">TEST      </t>
  </si>
  <si>
    <t xml:space="preserve">SC TEST SRL                                       </t>
  </si>
  <si>
    <t>Obiectiv</t>
  </si>
  <si>
    <t xml:space="preserve">01        </t>
  </si>
  <si>
    <t xml:space="preserve">          </t>
  </si>
  <si>
    <t xml:space="preserve">                                                  </t>
  </si>
  <si>
    <t/>
  </si>
  <si>
    <t xml:space="preserve">                                                                                    OFERTANT</t>
  </si>
  <si>
    <t xml:space="preserve">                                               OFERTANT                             OFERTANT</t>
  </si>
  <si>
    <t xml:space="preserve">02        </t>
  </si>
  <si>
    <t xml:space="preserve">128       </t>
  </si>
  <si>
    <t xml:space="preserve">Canalizare Chilieni si Coseni                     </t>
  </si>
  <si>
    <t xml:space="preserve">Canalizare Coseni                                 </t>
  </si>
  <si>
    <t xml:space="preserve">PVC-G 250                                         </t>
  </si>
  <si>
    <t>Executant:</t>
  </si>
  <si>
    <t xml:space="preserve">TEST      -SC TEST SRL                                       </t>
  </si>
  <si>
    <t>Obiectiv:</t>
  </si>
  <si>
    <t xml:space="preserve">128       -Canalizare Chilieni si Coseni                     </t>
  </si>
  <si>
    <t>Obiect:</t>
  </si>
  <si>
    <t xml:space="preserve">02        -Canalizare Coseni                                 </t>
  </si>
  <si>
    <t>Categorie:</t>
  </si>
  <si>
    <t xml:space="preserve">02        -PVC-G 200                                         </t>
  </si>
  <si>
    <t xml:space="preserve">  C.A.S.                  </t>
  </si>
  <si>
    <t xml:space="preserve">  C.A.S.S.                </t>
  </si>
  <si>
    <t xml:space="preserve">  Aj.somaj                </t>
  </si>
  <si>
    <t xml:space="preserve">  Acc. munca, boli profes.</t>
  </si>
  <si>
    <t xml:space="preserve">  C.C.I                   </t>
  </si>
  <si>
    <t xml:space="preserve">  Fond garantare          </t>
  </si>
  <si>
    <t xml:space="preserve">03        -PEHD DN 125                                       </t>
  </si>
  <si>
    <t xml:space="preserve">04        -Racord PVC DN 16 L=2125m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</si>
</sst>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4" formatCode="0.0000"/>
    <numFmt numFmtId="175" formatCode="#,##0.000"/>
    <numFmt numFmtId="176" formatCode="#,##0.0000"/>
    <numFmt numFmtId="184" formatCode="0.00000"/>
    <numFmt numFmtId="185" formatCode="0.000%"/>
  </numFmts>
  <fonts count="22" x14ac:knownFonts="1">
    <font>
      <sz val="10"/>
      <name val="Arial"/>
    </font>
    <font>
      <sz val="10"/>
      <name val="Arial"/>
    </font>
    <font>
      <b/>
      <i/>
      <sz val="2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Times New Roman"/>
      <family val="1"/>
    </font>
    <font>
      <b/>
      <sz val="11"/>
      <name val="Times New Roman"/>
      <family val="1"/>
    </font>
    <font>
      <sz val="10"/>
      <color indexed="9"/>
      <name val="Arial"/>
      <family val="2"/>
    </font>
    <font>
      <b/>
      <sz val="14"/>
      <name val="Times New Roman"/>
      <family val="1"/>
    </font>
    <font>
      <b/>
      <i/>
      <sz val="12"/>
      <name val="Times New Roman"/>
      <family val="1"/>
    </font>
    <font>
      <b/>
      <sz val="12"/>
      <name val="Courier New"/>
      <family val="3"/>
    </font>
    <font>
      <b/>
      <i/>
      <sz val="18"/>
      <name val="Times New Roman"/>
      <family val="1"/>
    </font>
    <font>
      <sz val="10"/>
      <name val="Arial"/>
    </font>
    <font>
      <sz val="11"/>
      <name val="Times New Roman"/>
      <family val="1"/>
    </font>
    <font>
      <b/>
      <sz val="10"/>
      <name val="Arial"/>
      <family val="2"/>
      <charset val="238"/>
    </font>
    <font>
      <b/>
      <sz val="10"/>
      <name val="Arial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Courier New"/>
      <family val="3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7">
    <xf numFmtId="0" fontId="0" fillId="0" borderId="0"/>
    <xf numFmtId="174" fontId="6" fillId="0" borderId="0" applyFill="0" applyBorder="0" applyProtection="0">
      <alignment horizontal="right"/>
    </xf>
    <xf numFmtId="10" fontId="6" fillId="0" borderId="0" applyFill="0" applyBorder="0" applyProtection="0">
      <alignment horizontal="right"/>
    </xf>
    <xf numFmtId="49" fontId="4" fillId="0" borderId="0" applyFill="0" applyBorder="0" applyProtection="0"/>
    <xf numFmtId="3" fontId="8" fillId="0" borderId="0" applyFill="0" applyBorder="0" applyProtection="0"/>
    <xf numFmtId="4" fontId="7" fillId="0" borderId="0" applyFill="0" applyBorder="0" applyProtection="0"/>
    <xf numFmtId="0" fontId="5" fillId="0" borderId="0"/>
  </cellStyleXfs>
  <cellXfs count="2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4" fontId="7" fillId="0" borderId="0" xfId="5"/>
    <xf numFmtId="10" fontId="6" fillId="0" borderId="0" xfId="2">
      <alignment horizontal="right"/>
    </xf>
    <xf numFmtId="49" fontId="4" fillId="0" borderId="0" xfId="3"/>
    <xf numFmtId="49" fontId="4" fillId="0" borderId="0" xfId="3" applyFont="1"/>
    <xf numFmtId="174" fontId="6" fillId="0" borderId="0" xfId="1">
      <alignment horizontal="right"/>
    </xf>
    <xf numFmtId="175" fontId="4" fillId="0" borderId="0" xfId="0" applyNumberFormat="1" applyFont="1"/>
    <xf numFmtId="176" fontId="4" fillId="0" borderId="0" xfId="0" applyNumberFormat="1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0" xfId="0" applyFont="1"/>
    <xf numFmtId="49" fontId="4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/>
    <xf numFmtId="0" fontId="13" fillId="0" borderId="0" xfId="0" applyFont="1"/>
    <xf numFmtId="49" fontId="4" fillId="0" borderId="0" xfId="3" applyBorder="1"/>
    <xf numFmtId="0" fontId="0" fillId="0" borderId="0" xfId="0" applyBorder="1"/>
    <xf numFmtId="49" fontId="4" fillId="0" borderId="0" xfId="3" applyFont="1" applyBorder="1"/>
    <xf numFmtId="49" fontId="5" fillId="0" borderId="0" xfId="3" applyFont="1" applyBorder="1"/>
    <xf numFmtId="0" fontId="14" fillId="0" borderId="0" xfId="0" applyFont="1" applyBorder="1"/>
    <xf numFmtId="49" fontId="5" fillId="0" borderId="0" xfId="3" applyFont="1" applyBorder="1" applyAlignment="1">
      <alignment horizontal="right"/>
    </xf>
    <xf numFmtId="3" fontId="15" fillId="0" borderId="0" xfId="4" applyFont="1" applyBorder="1"/>
    <xf numFmtId="49" fontId="4" fillId="0" borderId="1" xfId="3" applyFont="1" applyBorder="1"/>
    <xf numFmtId="49" fontId="4" fillId="0" borderId="0" xfId="3" applyBorder="1" applyAlignment="1">
      <alignment horizontal="right"/>
    </xf>
    <xf numFmtId="49" fontId="4" fillId="0" borderId="2" xfId="3" applyFont="1" applyFill="1" applyBorder="1"/>
    <xf numFmtId="0" fontId="9" fillId="0" borderId="0" xfId="0" applyFont="1" applyFill="1"/>
    <xf numFmtId="0" fontId="10" fillId="0" borderId="1" xfId="0" applyFont="1" applyBorder="1" applyAlignment="1">
      <alignment horizontal="center"/>
    </xf>
    <xf numFmtId="0" fontId="16" fillId="0" borderId="0" xfId="0" applyNumberFormat="1" applyFont="1"/>
    <xf numFmtId="49" fontId="4" fillId="0" borderId="3" xfId="3" applyFont="1" applyBorder="1"/>
    <xf numFmtId="0" fontId="16" fillId="0" borderId="2" xfId="0" applyNumberFormat="1" applyFont="1" applyBorder="1"/>
    <xf numFmtId="0" fontId="7" fillId="0" borderId="1" xfId="0" applyFont="1" applyBorder="1" applyAlignment="1"/>
    <xf numFmtId="0" fontId="7" fillId="0" borderId="0" xfId="0" applyFont="1" applyBorder="1" applyAlignment="1"/>
    <xf numFmtId="10" fontId="4" fillId="0" borderId="2" xfId="2" applyFont="1" applyBorder="1" applyAlignment="1"/>
    <xf numFmtId="0" fontId="17" fillId="0" borderId="2" xfId="0" applyFont="1" applyFill="1" applyBorder="1"/>
    <xf numFmtId="0" fontId="17" fillId="0" borderId="0" xfId="0" applyFont="1" applyBorder="1"/>
    <xf numFmtId="0" fontId="17" fillId="0" borderId="3" xfId="0" applyFont="1" applyBorder="1"/>
    <xf numFmtId="0" fontId="16" fillId="0" borderId="0" xfId="0" applyFont="1"/>
    <xf numFmtId="0" fontId="18" fillId="0" borderId="2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176" fontId="18" fillId="0" borderId="0" xfId="5" applyNumberFormat="1" applyFont="1" applyBorder="1"/>
    <xf numFmtId="4" fontId="18" fillId="0" borderId="0" xfId="5" applyFont="1"/>
    <xf numFmtId="0" fontId="19" fillId="0" borderId="0" xfId="0" applyFont="1"/>
    <xf numFmtId="3" fontId="18" fillId="0" borderId="0" xfId="0" applyNumberFormat="1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174" fontId="18" fillId="0" borderId="0" xfId="5" applyNumberFormat="1" applyFont="1" applyBorder="1"/>
    <xf numFmtId="0" fontId="16" fillId="0" borderId="0" xfId="0" applyFont="1" applyBorder="1"/>
    <xf numFmtId="49" fontId="18" fillId="0" borderId="0" xfId="3" applyFont="1" applyBorder="1" applyAlignment="1">
      <alignment horizontal="right"/>
    </xf>
    <xf numFmtId="0" fontId="19" fillId="0" borderId="0" xfId="0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10" fontId="16" fillId="0" borderId="0" xfId="2" applyFont="1" applyBorder="1" applyAlignment="1"/>
    <xf numFmtId="0" fontId="16" fillId="0" borderId="0" xfId="3" applyNumberFormat="1" applyFont="1" applyBorder="1"/>
    <xf numFmtId="0" fontId="20" fillId="0" borderId="0" xfId="0" applyFont="1"/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0" applyFont="1" applyBorder="1"/>
    <xf numFmtId="49" fontId="18" fillId="0" borderId="2" xfId="3" applyFont="1" applyBorder="1" applyAlignment="1">
      <alignment horizontal="right"/>
    </xf>
    <xf numFmtId="0" fontId="19" fillId="0" borderId="2" xfId="0" applyFont="1" applyBorder="1"/>
    <xf numFmtId="4" fontId="18" fillId="0" borderId="2" xfId="5" applyFont="1" applyBorder="1"/>
    <xf numFmtId="49" fontId="4" fillId="0" borderId="0" xfId="3" applyFont="1" applyAlignment="1"/>
    <xf numFmtId="0" fontId="1" fillId="0" borderId="0" xfId="0" applyFont="1" applyBorder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0" applyFont="1" applyBorder="1"/>
    <xf numFmtId="0" fontId="20" fillId="0" borderId="1" xfId="0" applyFont="1" applyBorder="1"/>
    <xf numFmtId="49" fontId="18" fillId="0" borderId="1" xfId="3" applyFont="1" applyBorder="1" applyAlignment="1">
      <alignment horizontal="right"/>
    </xf>
    <xf numFmtId="0" fontId="19" fillId="0" borderId="1" xfId="0" applyFont="1" applyBorder="1"/>
    <xf numFmtId="4" fontId="18" fillId="0" borderId="1" xfId="5" applyFont="1" applyBorder="1"/>
    <xf numFmtId="49" fontId="16" fillId="0" borderId="4" xfId="3" applyNumberFormat="1" applyFont="1" applyBorder="1"/>
    <xf numFmtId="0" fontId="16" fillId="0" borderId="4" xfId="3" applyNumberFormat="1" applyFont="1" applyBorder="1" applyAlignment="1">
      <alignment horizontal="right"/>
    </xf>
    <xf numFmtId="0" fontId="16" fillId="0" borderId="4" xfId="0" applyFont="1" applyBorder="1"/>
    <xf numFmtId="49" fontId="18" fillId="0" borderId="4" xfId="3" applyFont="1" applyBorder="1" applyAlignment="1">
      <alignment horizontal="right"/>
    </xf>
    <xf numFmtId="0" fontId="19" fillId="0" borderId="4" xfId="0" applyFont="1" applyBorder="1"/>
    <xf numFmtId="4" fontId="18" fillId="0" borderId="4" xfId="5" applyFont="1" applyBorder="1"/>
    <xf numFmtId="0" fontId="18" fillId="0" borderId="0" xfId="5" applyNumberFormat="1" applyFont="1" applyBorder="1"/>
    <xf numFmtId="0" fontId="6" fillId="0" borderId="0" xfId="2" applyNumberFormat="1">
      <alignment horizontal="right"/>
    </xf>
    <xf numFmtId="0" fontId="17" fillId="0" borderId="0" xfId="0" applyFont="1" applyBorder="1" applyAlignment="1">
      <alignment horizontal="right"/>
    </xf>
    <xf numFmtId="49" fontId="16" fillId="0" borderId="0" xfId="3" applyFont="1" applyBorder="1"/>
    <xf numFmtId="49" fontId="16" fillId="0" borderId="0" xfId="3" applyFont="1" applyBorder="1" applyAlignment="1">
      <alignment horizontal="right"/>
    </xf>
    <xf numFmtId="0" fontId="20" fillId="0" borderId="0" xfId="0" applyFont="1" applyBorder="1"/>
    <xf numFmtId="49" fontId="16" fillId="0" borderId="3" xfId="3" applyFont="1" applyBorder="1"/>
    <xf numFmtId="49" fontId="16" fillId="0" borderId="3" xfId="3" applyFont="1" applyBorder="1" applyAlignment="1">
      <alignment horizontal="right"/>
    </xf>
    <xf numFmtId="0" fontId="16" fillId="0" borderId="3" xfId="0" applyFont="1" applyBorder="1"/>
    <xf numFmtId="0" fontId="20" fillId="0" borderId="3" xfId="0" applyFont="1" applyBorder="1"/>
    <xf numFmtId="49" fontId="18" fillId="0" borderId="3" xfId="3" applyFont="1" applyBorder="1" applyAlignment="1">
      <alignment horizontal="right"/>
    </xf>
    <xf numFmtId="0" fontId="19" fillId="0" borderId="3" xfId="0" applyFont="1" applyBorder="1"/>
    <xf numFmtId="49" fontId="4" fillId="0" borderId="5" xfId="3" applyNumberFormat="1" applyFont="1" applyBorder="1"/>
    <xf numFmtId="0" fontId="0" fillId="0" borderId="5" xfId="0" applyBorder="1"/>
    <xf numFmtId="49" fontId="4" fillId="0" borderId="5" xfId="3" applyFont="1" applyBorder="1" applyAlignment="1">
      <alignment horizontal="right"/>
    </xf>
    <xf numFmtId="4" fontId="7" fillId="0" borderId="5" xfId="5" applyBorder="1"/>
    <xf numFmtId="49" fontId="4" fillId="0" borderId="5" xfId="3" applyFont="1" applyBorder="1"/>
    <xf numFmtId="0" fontId="16" fillId="0" borderId="5" xfId="0" applyFont="1" applyBorder="1"/>
    <xf numFmtId="0" fontId="0" fillId="0" borderId="1" xfId="0" applyBorder="1"/>
    <xf numFmtId="49" fontId="16" fillId="0" borderId="3" xfId="3" applyNumberFormat="1" applyFont="1" applyBorder="1"/>
    <xf numFmtId="49" fontId="4" fillId="0" borderId="2" xfId="3" applyFont="1" applyBorder="1"/>
    <xf numFmtId="0" fontId="18" fillId="0" borderId="2" xfId="5" applyNumberFormat="1" applyFont="1" applyBorder="1"/>
    <xf numFmtId="0" fontId="17" fillId="0" borderId="2" xfId="0" applyFont="1" applyBorder="1" applyAlignment="1">
      <alignment horizontal="right"/>
    </xf>
    <xf numFmtId="0" fontId="16" fillId="0" borderId="0" xfId="0" applyFont="1" applyAlignment="1">
      <alignment horizontal="right"/>
    </xf>
    <xf numFmtId="184" fontId="6" fillId="0" borderId="0" xfId="1" applyNumberFormat="1">
      <alignment horizontal="right"/>
    </xf>
    <xf numFmtId="185" fontId="4" fillId="0" borderId="0" xfId="2" applyNumberFormat="1" applyFont="1">
      <alignment horizontal="right"/>
    </xf>
    <xf numFmtId="185" fontId="4" fillId="0" borderId="0" xfId="2" applyNumberFormat="1" applyFont="1" applyAlignment="1"/>
    <xf numFmtId="185" fontId="4" fillId="0" borderId="0" xfId="2" applyNumberFormat="1" applyFont="1" applyBorder="1" applyAlignment="1"/>
    <xf numFmtId="185" fontId="16" fillId="0" borderId="0" xfId="2" applyNumberFormat="1" applyFont="1" applyBorder="1" applyAlignment="1"/>
    <xf numFmtId="185" fontId="16" fillId="0" borderId="0" xfId="2" applyNumberFormat="1" applyFont="1" applyAlignment="1"/>
    <xf numFmtId="185" fontId="16" fillId="0" borderId="3" xfId="2" applyNumberFormat="1" applyFont="1" applyBorder="1" applyAlignment="1"/>
    <xf numFmtId="185" fontId="16" fillId="0" borderId="4" xfId="2" applyNumberFormat="1" applyFont="1" applyBorder="1" applyAlignment="1"/>
    <xf numFmtId="185" fontId="16" fillId="0" borderId="2" xfId="2" applyNumberFormat="1" applyFont="1" applyBorder="1" applyAlignment="1"/>
    <xf numFmtId="4" fontId="7" fillId="0" borderId="0" xfId="5" applyBorder="1"/>
    <xf numFmtId="0" fontId="5" fillId="0" borderId="0" xfId="0" applyFont="1" applyAlignment="1">
      <alignment horizontal="right"/>
    </xf>
    <xf numFmtId="49" fontId="21" fillId="0" borderId="0" xfId="3" applyNumberFormat="1" applyFont="1" applyAlignment="1"/>
    <xf numFmtId="49" fontId="21" fillId="0" borderId="0" xfId="0" applyNumberFormat="1" applyFont="1" applyAlignment="1"/>
    <xf numFmtId="0" fontId="5" fillId="0" borderId="0" xfId="6"/>
    <xf numFmtId="0" fontId="11" fillId="0" borderId="0" xfId="6" applyFont="1" applyAlignment="1">
      <alignment horizontal="right"/>
    </xf>
    <xf numFmtId="0" fontId="12" fillId="0" borderId="0" xfId="6" applyFont="1"/>
    <xf numFmtId="0" fontId="5" fillId="0" borderId="0" xfId="6"/>
    <xf numFmtId="0" fontId="11" fillId="0" borderId="0" xfId="6" applyFont="1" applyAlignment="1">
      <alignment horizontal="right"/>
    </xf>
    <xf numFmtId="0" fontId="12" fillId="0" borderId="0" xfId="6" applyFont="1"/>
    <xf numFmtId="0" fontId="5" fillId="0" borderId="0" xfId="6"/>
    <xf numFmtId="0" fontId="11" fillId="0" borderId="0" xfId="6" applyFont="1" applyAlignment="1">
      <alignment horizontal="right"/>
    </xf>
    <xf numFmtId="0" fontId="12" fillId="0" borderId="0" xfId="6" applyFont="1"/>
    <xf numFmtId="0" fontId="5" fillId="0" borderId="0" xfId="6"/>
    <xf numFmtId="0" fontId="11" fillId="0" borderId="0" xfId="6" applyFont="1" applyAlignment="1">
      <alignment horizontal="right"/>
    </xf>
    <xf numFmtId="0" fontId="12" fillId="0" borderId="0" xfId="6" applyFont="1"/>
    <xf numFmtId="0" fontId="5" fillId="0" borderId="0" xfId="6"/>
    <xf numFmtId="4" fontId="7" fillId="0" borderId="0" xfId="5"/>
    <xf numFmtId="49" fontId="4" fillId="0" borderId="0" xfId="3"/>
    <xf numFmtId="49" fontId="4" fillId="0" borderId="0" xfId="3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13" fillId="0" borderId="0" xfId="6" applyFont="1"/>
    <xf numFmtId="49" fontId="4" fillId="0" borderId="0" xfId="3" applyFont="1" applyBorder="1"/>
    <xf numFmtId="49" fontId="4" fillId="0" borderId="1" xfId="3" applyFont="1" applyBorder="1"/>
    <xf numFmtId="49" fontId="4" fillId="0" borderId="2" xfId="3" applyFont="1" applyFill="1" applyBorder="1"/>
    <xf numFmtId="0" fontId="10" fillId="0" borderId="1" xfId="6" applyFont="1" applyBorder="1" applyAlignment="1">
      <alignment horizontal="center"/>
    </xf>
    <xf numFmtId="0" fontId="16" fillId="0" borderId="0" xfId="6" applyNumberFormat="1" applyFont="1"/>
    <xf numFmtId="49" fontId="4" fillId="0" borderId="3" xfId="3" applyFont="1" applyBorder="1"/>
    <xf numFmtId="0" fontId="16" fillId="0" borderId="2" xfId="6" applyNumberFormat="1" applyFont="1" applyBorder="1"/>
    <xf numFmtId="0" fontId="7" fillId="0" borderId="1" xfId="6" applyFont="1" applyBorder="1" applyAlignment="1"/>
    <xf numFmtId="0" fontId="7" fillId="0" borderId="0" xfId="6" applyFont="1" applyBorder="1" applyAlignment="1"/>
    <xf numFmtId="10" fontId="4" fillId="0" borderId="2" xfId="2" applyFont="1" applyBorder="1" applyAlignment="1"/>
    <xf numFmtId="0" fontId="4" fillId="0" borderId="2" xfId="6" applyFont="1" applyFill="1" applyBorder="1"/>
    <xf numFmtId="0" fontId="4" fillId="0" borderId="0" xfId="6" applyFont="1" applyBorder="1"/>
    <xf numFmtId="0" fontId="4" fillId="0" borderId="3" xfId="6" applyFont="1" applyBorder="1"/>
    <xf numFmtId="0" fontId="18" fillId="0" borderId="2" xfId="6" applyFont="1" applyBorder="1" applyAlignment="1">
      <alignment horizontal="center"/>
    </xf>
    <xf numFmtId="0" fontId="18" fillId="0" borderId="0" xfId="6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4" fontId="18" fillId="0" borderId="0" xfId="5" applyFont="1"/>
    <xf numFmtId="0" fontId="19" fillId="0" borderId="0" xfId="6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0" fontId="16" fillId="0" borderId="0" xfId="6" applyFont="1" applyBorder="1"/>
    <xf numFmtId="49" fontId="18" fillId="0" borderId="0" xfId="3" applyFont="1" applyBorder="1" applyAlignment="1">
      <alignment horizontal="right"/>
    </xf>
    <xf numFmtId="0" fontId="19" fillId="0" borderId="0" xfId="6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6" applyFont="1" applyBorder="1"/>
    <xf numFmtId="49" fontId="18" fillId="0" borderId="2" xfId="3" applyFont="1" applyBorder="1" applyAlignment="1">
      <alignment horizontal="right"/>
    </xf>
    <xf numFmtId="0" fontId="19" fillId="0" borderId="2" xfId="6" applyFont="1" applyBorder="1"/>
    <xf numFmtId="4" fontId="18" fillId="0" borderId="2" xfId="5" applyFont="1" applyBorder="1"/>
    <xf numFmtId="49" fontId="4" fillId="0" borderId="0" xfId="3" applyFont="1" applyAlignment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6" applyFont="1" applyBorder="1"/>
    <xf numFmtId="0" fontId="20" fillId="0" borderId="1" xfId="6" applyFont="1" applyBorder="1"/>
    <xf numFmtId="49" fontId="18" fillId="0" borderId="1" xfId="3" applyFont="1" applyBorder="1" applyAlignment="1">
      <alignment horizontal="right"/>
    </xf>
    <xf numFmtId="0" fontId="19" fillId="0" borderId="1" xfId="6" applyFont="1" applyBorder="1"/>
    <xf numFmtId="4" fontId="18" fillId="0" borderId="1" xfId="5" applyFont="1" applyBorder="1"/>
    <xf numFmtId="185" fontId="4" fillId="0" borderId="0" xfId="2" applyNumberFormat="1" applyFont="1" applyAlignment="1"/>
    <xf numFmtId="185" fontId="16" fillId="0" borderId="0" xfId="2" applyNumberFormat="1" applyFont="1" applyBorder="1" applyAlignment="1"/>
    <xf numFmtId="185" fontId="16" fillId="0" borderId="2" xfId="2" applyNumberFormat="1" applyFont="1" applyBorder="1" applyAlignment="1"/>
    <xf numFmtId="0" fontId="5" fillId="0" borderId="0" xfId="6"/>
    <xf numFmtId="4" fontId="7" fillId="0" borderId="0" xfId="5"/>
    <xf numFmtId="49" fontId="4" fillId="0" borderId="0" xfId="3"/>
    <xf numFmtId="49" fontId="4" fillId="0" borderId="0" xfId="3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11" fillId="0" borderId="0" xfId="6" applyFont="1" applyAlignment="1">
      <alignment horizontal="right"/>
    </xf>
    <xf numFmtId="0" fontId="12" fillId="0" borderId="0" xfId="6" applyFont="1"/>
    <xf numFmtId="0" fontId="13" fillId="0" borderId="0" xfId="6" applyFont="1"/>
    <xf numFmtId="49" fontId="4" fillId="0" borderId="0" xfId="3" applyFont="1" applyBorder="1"/>
    <xf numFmtId="49" fontId="4" fillId="0" borderId="1" xfId="3" applyFont="1" applyBorder="1"/>
    <xf numFmtId="49" fontId="4" fillId="0" borderId="2" xfId="3" applyFont="1" applyFill="1" applyBorder="1"/>
    <xf numFmtId="0" fontId="10" fillId="0" borderId="1" xfId="6" applyFont="1" applyBorder="1" applyAlignment="1">
      <alignment horizontal="center"/>
    </xf>
    <xf numFmtId="0" fontId="16" fillId="0" borderId="0" xfId="6" applyNumberFormat="1" applyFont="1"/>
    <xf numFmtId="49" fontId="4" fillId="0" borderId="3" xfId="3" applyFont="1" applyBorder="1"/>
    <xf numFmtId="0" fontId="16" fillId="0" borderId="2" xfId="6" applyNumberFormat="1" applyFont="1" applyBorder="1"/>
    <xf numFmtId="0" fontId="7" fillId="0" borderId="1" xfId="6" applyFont="1" applyBorder="1" applyAlignment="1"/>
    <xf numFmtId="0" fontId="7" fillId="0" borderId="0" xfId="6" applyFont="1" applyBorder="1" applyAlignment="1"/>
    <xf numFmtId="10" fontId="4" fillId="0" borderId="2" xfId="2" applyFont="1" applyBorder="1" applyAlignment="1"/>
    <xf numFmtId="0" fontId="4" fillId="0" borderId="2" xfId="6" applyFont="1" applyFill="1" applyBorder="1"/>
    <xf numFmtId="0" fontId="4" fillId="0" borderId="0" xfId="6" applyFont="1" applyBorder="1"/>
    <xf numFmtId="0" fontId="4" fillId="0" borderId="3" xfId="6" applyFont="1" applyBorder="1"/>
    <xf numFmtId="0" fontId="18" fillId="0" borderId="2" xfId="6" applyFont="1" applyBorder="1" applyAlignment="1">
      <alignment horizontal="center"/>
    </xf>
    <xf numFmtId="0" fontId="18" fillId="0" borderId="0" xfId="6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4" fontId="18" fillId="0" borderId="0" xfId="5" applyFont="1"/>
    <xf numFmtId="0" fontId="19" fillId="0" borderId="0" xfId="6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0" fontId="16" fillId="0" borderId="0" xfId="6" applyFont="1" applyBorder="1"/>
    <xf numFmtId="49" fontId="18" fillId="0" borderId="0" xfId="3" applyFont="1" applyBorder="1" applyAlignment="1">
      <alignment horizontal="right"/>
    </xf>
    <xf numFmtId="0" fontId="19" fillId="0" borderId="0" xfId="6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6" applyFont="1" applyBorder="1"/>
    <xf numFmtId="49" fontId="18" fillId="0" borderId="2" xfId="3" applyFont="1" applyBorder="1" applyAlignment="1">
      <alignment horizontal="right"/>
    </xf>
    <xf numFmtId="0" fontId="19" fillId="0" borderId="2" xfId="6" applyFont="1" applyBorder="1"/>
    <xf numFmtId="4" fontId="18" fillId="0" borderId="2" xfId="5" applyFont="1" applyBorder="1"/>
    <xf numFmtId="49" fontId="4" fillId="0" borderId="0" xfId="3" applyFont="1" applyAlignment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6" applyFont="1" applyBorder="1"/>
    <xf numFmtId="0" fontId="20" fillId="0" borderId="1" xfId="6" applyFont="1" applyBorder="1"/>
    <xf numFmtId="49" fontId="18" fillId="0" borderId="1" xfId="3" applyFont="1" applyBorder="1" applyAlignment="1">
      <alignment horizontal="right"/>
    </xf>
    <xf numFmtId="0" fontId="19" fillId="0" borderId="1" xfId="6" applyFont="1" applyBorder="1"/>
    <xf numFmtId="4" fontId="18" fillId="0" borderId="1" xfId="5" applyFont="1" applyBorder="1"/>
    <xf numFmtId="185" fontId="4" fillId="0" borderId="0" xfId="2" applyNumberFormat="1" applyFont="1" applyAlignment="1"/>
    <xf numFmtId="185" fontId="16" fillId="0" borderId="0" xfId="2" applyNumberFormat="1" applyFont="1" applyBorder="1" applyAlignment="1"/>
    <xf numFmtId="185" fontId="16" fillId="0" borderId="2" xfId="2" applyNumberFormat="1" applyFont="1" applyBorder="1" applyAlignment="1"/>
    <xf numFmtId="0" fontId="5" fillId="0" borderId="0" xfId="6"/>
    <xf numFmtId="4" fontId="7" fillId="0" borderId="0" xfId="5"/>
    <xf numFmtId="49" fontId="4" fillId="0" borderId="0" xfId="3"/>
    <xf numFmtId="49" fontId="4" fillId="0" borderId="0" xfId="3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11" fillId="0" borderId="0" xfId="6" applyFont="1" applyAlignment="1">
      <alignment horizontal="right"/>
    </xf>
    <xf numFmtId="0" fontId="12" fillId="0" borderId="0" xfId="6" applyFont="1"/>
    <xf numFmtId="0" fontId="13" fillId="0" borderId="0" xfId="6" applyFont="1"/>
    <xf numFmtId="49" fontId="4" fillId="0" borderId="0" xfId="3" applyFont="1" applyBorder="1"/>
    <xf numFmtId="49" fontId="4" fillId="0" borderId="1" xfId="3" applyFont="1" applyBorder="1"/>
    <xf numFmtId="49" fontId="4" fillId="0" borderId="2" xfId="3" applyFont="1" applyFill="1" applyBorder="1"/>
    <xf numFmtId="0" fontId="10" fillId="0" borderId="1" xfId="6" applyFont="1" applyBorder="1" applyAlignment="1">
      <alignment horizontal="center"/>
    </xf>
    <xf numFmtId="0" fontId="16" fillId="0" borderId="0" xfId="6" applyNumberFormat="1" applyFont="1"/>
    <xf numFmtId="49" fontId="4" fillId="0" borderId="3" xfId="3" applyFont="1" applyBorder="1"/>
    <xf numFmtId="0" fontId="16" fillId="0" borderId="2" xfId="6" applyNumberFormat="1" applyFont="1" applyBorder="1"/>
    <xf numFmtId="0" fontId="7" fillId="0" borderId="1" xfId="6" applyFont="1" applyBorder="1" applyAlignment="1"/>
    <xf numFmtId="0" fontId="7" fillId="0" borderId="0" xfId="6" applyFont="1" applyBorder="1" applyAlignment="1"/>
    <xf numFmtId="10" fontId="4" fillId="0" borderId="2" xfId="2" applyFont="1" applyBorder="1" applyAlignment="1"/>
    <xf numFmtId="0" fontId="4" fillId="0" borderId="2" xfId="6" applyFont="1" applyFill="1" applyBorder="1"/>
    <xf numFmtId="0" fontId="4" fillId="0" borderId="0" xfId="6" applyFont="1" applyBorder="1"/>
    <xf numFmtId="0" fontId="4" fillId="0" borderId="3" xfId="6" applyFont="1" applyBorder="1"/>
    <xf numFmtId="0" fontId="18" fillId="0" borderId="2" xfId="6" applyFont="1" applyBorder="1" applyAlignment="1">
      <alignment horizontal="center"/>
    </xf>
    <xf numFmtId="0" fontId="18" fillId="0" borderId="0" xfId="6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4" fontId="18" fillId="0" borderId="0" xfId="5" applyFont="1"/>
    <xf numFmtId="0" fontId="19" fillId="0" borderId="0" xfId="6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0" fontId="16" fillId="0" borderId="0" xfId="6" applyFont="1" applyBorder="1"/>
    <xf numFmtId="49" fontId="18" fillId="0" borderId="0" xfId="3" applyFont="1" applyBorder="1" applyAlignment="1">
      <alignment horizontal="right"/>
    </xf>
    <xf numFmtId="0" fontId="19" fillId="0" borderId="0" xfId="6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6" applyFont="1" applyBorder="1"/>
    <xf numFmtId="49" fontId="18" fillId="0" borderId="2" xfId="3" applyFont="1" applyBorder="1" applyAlignment="1">
      <alignment horizontal="right"/>
    </xf>
    <xf numFmtId="0" fontId="19" fillId="0" borderId="2" xfId="6" applyFont="1" applyBorder="1"/>
    <xf numFmtId="4" fontId="18" fillId="0" borderId="2" xfId="5" applyFont="1" applyBorder="1"/>
    <xf numFmtId="49" fontId="4" fillId="0" borderId="0" xfId="3" applyFont="1" applyAlignment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6" applyFont="1" applyBorder="1"/>
    <xf numFmtId="0" fontId="20" fillId="0" borderId="1" xfId="6" applyFont="1" applyBorder="1"/>
    <xf numFmtId="49" fontId="18" fillId="0" borderId="1" xfId="3" applyFont="1" applyBorder="1" applyAlignment="1">
      <alignment horizontal="right"/>
    </xf>
    <xf numFmtId="0" fontId="19" fillId="0" borderId="1" xfId="6" applyFont="1" applyBorder="1"/>
    <xf numFmtId="4" fontId="18" fillId="0" borderId="1" xfId="5" applyFont="1" applyBorder="1"/>
    <xf numFmtId="185" fontId="4" fillId="0" borderId="0" xfId="2" applyNumberFormat="1" applyFont="1" applyAlignment="1"/>
    <xf numFmtId="185" fontId="16" fillId="0" borderId="0" xfId="2" applyNumberFormat="1" applyFont="1" applyBorder="1" applyAlignment="1"/>
    <xf numFmtId="185" fontId="16" fillId="0" borderId="2" xfId="2" applyNumberFormat="1" applyFont="1" applyBorder="1" applyAlignment="1"/>
  </cellXfs>
  <cellStyles count="7">
    <cellStyle name="Coeficient" xfId="1"/>
    <cellStyle name="Normal" xfId="0" builtinId="0"/>
    <cellStyle name="Normal 2" xfId="6"/>
    <cellStyle name="Procente" xfId="2"/>
    <cellStyle name="Text" xfId="3"/>
    <cellStyle name="Totaluri" xfId="4"/>
    <cellStyle name="Valori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/>
  <dimension ref="A1:J157"/>
  <sheetViews>
    <sheetView tabSelected="1" zoomScaleNormal="100" workbookViewId="0">
      <selection activeCell="N152" sqref="N152"/>
    </sheetView>
  </sheetViews>
  <sheetFormatPr defaultRowHeight="12.75" outlineLevelRow="1" outlineLevelCol="1" x14ac:dyDescent="0.2"/>
  <cols>
    <col min="1" max="1" width="27" customWidth="1"/>
    <col min="2" max="2" width="5.28515625" customWidth="1"/>
    <col min="3" max="3" width="7.7109375" customWidth="1"/>
    <col min="4" max="5" width="12.5703125" customWidth="1"/>
    <col min="6" max="6" width="10.28515625" customWidth="1"/>
    <col min="7" max="7" width="12.42578125" customWidth="1"/>
    <col min="8" max="8" width="11.7109375" customWidth="1"/>
    <col min="9" max="9" width="9.5703125" hidden="1" customWidth="1" outlineLevel="1"/>
    <col min="10" max="10" width="9.140625" collapsed="1"/>
  </cols>
  <sheetData>
    <row r="1" spans="1:9" x14ac:dyDescent="0.2">
      <c r="A1" s="15" t="s">
        <v>28</v>
      </c>
      <c r="B1" s="15"/>
      <c r="C1" s="15" t="s">
        <v>29</v>
      </c>
      <c r="D1" s="15" t="s">
        <v>30</v>
      </c>
      <c r="E1" s="15" t="s">
        <v>31</v>
      </c>
      <c r="F1" s="15" t="s">
        <v>32</v>
      </c>
      <c r="G1" s="15"/>
      <c r="H1" s="15" t="s">
        <v>33</v>
      </c>
      <c r="I1" s="3" t="s">
        <v>38</v>
      </c>
    </row>
    <row r="2" spans="1:9" hidden="1" outlineLevel="1" x14ac:dyDescent="0.2">
      <c r="A2" s="15"/>
      <c r="B2" s="15"/>
      <c r="C2" s="15"/>
      <c r="D2" s="15"/>
      <c r="E2" s="15"/>
      <c r="F2" s="15"/>
      <c r="G2" s="15"/>
      <c r="H2" s="15"/>
      <c r="I2" s="4" t="str">
        <f>IF(Date!B39="D","Afisez","Nu afisez")</f>
        <v>Nu afisez</v>
      </c>
    </row>
    <row r="3" spans="1:9" hidden="1" outlineLevel="1" x14ac:dyDescent="0.2">
      <c r="A3" s="15"/>
      <c r="B3" s="15"/>
      <c r="C3" s="15"/>
      <c r="D3" s="15"/>
      <c r="E3" s="15"/>
      <c r="F3" s="15"/>
      <c r="G3" s="15"/>
      <c r="H3" s="15"/>
      <c r="I3" s="4" t="str">
        <f>IF(Date!B39="D","Afisez","Nu afisez")</f>
        <v>Nu afisez</v>
      </c>
    </row>
    <row r="4" spans="1:9" hidden="1" outlineLevel="1" x14ac:dyDescent="0.2">
      <c r="A4" s="15"/>
      <c r="B4" s="15"/>
      <c r="C4" s="15"/>
      <c r="D4" s="15"/>
      <c r="E4" s="15"/>
      <c r="F4" s="15"/>
      <c r="G4" s="15"/>
      <c r="H4" s="15"/>
      <c r="I4" s="4" t="str">
        <f>IF(Date!B39="D","Afisez","Nu afisez")</f>
        <v>Nu afisez</v>
      </c>
    </row>
    <row r="5" spans="1:9" hidden="1" outlineLevel="1" x14ac:dyDescent="0.2">
      <c r="A5" s="15"/>
      <c r="B5" s="15"/>
      <c r="C5" s="15"/>
      <c r="D5" s="15"/>
      <c r="E5" s="15"/>
      <c r="F5" s="15"/>
      <c r="G5" s="15"/>
      <c r="H5" s="15"/>
      <c r="I5" s="4" t="str">
        <f>IF(Date!B39="D","Afisez","Nu afisez")</f>
        <v>Nu afisez</v>
      </c>
    </row>
    <row r="6" spans="1:9" hidden="1" outlineLevel="1" x14ac:dyDescent="0.2">
      <c r="A6" s="15"/>
      <c r="B6" s="15"/>
      <c r="C6" s="15"/>
      <c r="D6" s="15"/>
      <c r="E6" s="15"/>
      <c r="F6" s="15"/>
      <c r="G6" s="15"/>
      <c r="H6" s="15"/>
      <c r="I6" s="4" t="str">
        <f>IF(Date!B39="D","Afisez","Nu afisez")</f>
        <v>Nu afisez</v>
      </c>
    </row>
    <row r="7" spans="1:9" hidden="1" outlineLevel="1" x14ac:dyDescent="0.2">
      <c r="A7" s="15"/>
      <c r="B7" s="15"/>
      <c r="C7" s="15"/>
      <c r="D7" s="15"/>
      <c r="E7" s="15"/>
      <c r="F7" s="15"/>
      <c r="G7" s="15"/>
      <c r="H7" s="15"/>
      <c r="I7" s="4" t="str">
        <f>IF(Date!B39="D","Afisez","Nu afisez")</f>
        <v>Nu afisez</v>
      </c>
    </row>
    <row r="8" spans="1:9" hidden="1" outlineLevel="1" x14ac:dyDescent="0.2">
      <c r="A8" s="15"/>
      <c r="B8" s="15"/>
      <c r="C8" s="15"/>
      <c r="D8" s="15"/>
      <c r="E8" s="15"/>
      <c r="F8" s="15"/>
      <c r="G8" s="15"/>
      <c r="H8" s="15"/>
      <c r="I8" s="4" t="str">
        <f>IF(Date!B39="D","Afisez","Nu afisez")</f>
        <v>Nu afisez</v>
      </c>
    </row>
    <row r="9" spans="1:9" ht="16.5" collapsed="1" x14ac:dyDescent="0.3">
      <c r="A9" s="17" t="str">
        <f>CONCATENATE(Date!C22,":")</f>
        <v>Executant:</v>
      </c>
      <c r="B9" s="18" t="str">
        <f>CONCATENATE(Date!D22,"-",Date!D23)</f>
        <v xml:space="preserve">TEST      -SC TEST SRL                                       </v>
      </c>
      <c r="I9" t="str">
        <f>IF(LEN(TRIM(Date!D22))=0,"Nu afisez","Afisez")</f>
        <v>Afisez</v>
      </c>
    </row>
    <row r="10" spans="1:9" ht="16.5" x14ac:dyDescent="0.3">
      <c r="A10" s="17" t="str">
        <f>CONCATENATE(Date!C24,":")</f>
        <v>Obiectiv:</v>
      </c>
      <c r="B10" s="18" t="str">
        <f>CONCATENATE(Date!D24,"-",Date!D25)</f>
        <v xml:space="preserve">128       -Canalizare Chilieni si Coseni                     </v>
      </c>
      <c r="I10" t="str">
        <f>IF(LEN(TRIM(Date!D24))=0,"Nu afisez","Afisez")</f>
        <v>Afisez</v>
      </c>
    </row>
    <row r="11" spans="1:9" ht="16.5" x14ac:dyDescent="0.3">
      <c r="A11" s="17" t="str">
        <f>CONCATENATE(Date!C26,":")</f>
        <v>Obiect:</v>
      </c>
      <c r="B11" s="18" t="str">
        <f>CONCATENATE(Date!D26,"-",Date!D27)</f>
        <v xml:space="preserve">02        -Canalizare Coseni                                 </v>
      </c>
      <c r="I11" t="str">
        <f>IF(LEN(TRIM(Date!D26))=0,"Nu afisez","Afisez")</f>
        <v>Afisez</v>
      </c>
    </row>
    <row r="12" spans="1:9" ht="16.5" x14ac:dyDescent="0.3">
      <c r="A12" s="17" t="str">
        <f>CONCATENATE(Date!C28,":")</f>
        <v>Categorie:</v>
      </c>
      <c r="B12" s="18" t="str">
        <f>CONCATENATE(Date!D28,"-",Date!D29)</f>
        <v xml:space="preserve">01        -PVC-G 250                                         </v>
      </c>
      <c r="I12" t="str">
        <f>IF(LEN(TRIM(Date!D28))=0,"Nu afisez","Afisez")</f>
        <v>Afisez</v>
      </c>
    </row>
    <row r="13" spans="1:9" ht="16.5" hidden="1" x14ac:dyDescent="0.3">
      <c r="A13" s="17" t="str">
        <f>CONCATENATE(Date!C30,":")</f>
        <v>:</v>
      </c>
      <c r="B13" s="18" t="str">
        <f>CONCATENATE(Date!D30,"-",Date!D31)</f>
        <v xml:space="preserve">          -                                                  </v>
      </c>
      <c r="I13" t="str">
        <f>IF(LEN(TRIM(Date!D30))=0,"Nu afisez","Afisez")</f>
        <v>Nu afisez</v>
      </c>
    </row>
    <row r="14" spans="1:9" ht="16.5" hidden="1" x14ac:dyDescent="0.3">
      <c r="A14" s="17" t="str">
        <f>CONCATENATE(Date!C32,":")</f>
        <v>:</v>
      </c>
      <c r="B14" s="18" t="str">
        <f>CONCATENATE(Date!D32,"-",Date!D33)</f>
        <v xml:space="preserve">          -                                                  </v>
      </c>
      <c r="I14" t="str">
        <f>IF(LEN(TRIM(Date!D32))=0,"Nu afisez","Afisez")</f>
        <v>Nu afisez</v>
      </c>
    </row>
    <row r="15" spans="1:9" ht="16.5" hidden="1" x14ac:dyDescent="0.3">
      <c r="A15" s="17" t="str">
        <f>CONCATENATE(Date!C34,":")</f>
        <v>:</v>
      </c>
      <c r="B15" s="18" t="str">
        <f>CONCATENATE(Date!D34,"-",Date!D35)</f>
        <v xml:space="preserve">          -                                                  </v>
      </c>
      <c r="I15" t="str">
        <f>IF(LEN(TRIM(Date!D34))=0,"Nu afisez","Afisez")</f>
        <v>Nu afisez</v>
      </c>
    </row>
    <row r="16" spans="1:9" ht="24" thickBot="1" x14ac:dyDescent="0.4">
      <c r="E16" s="19" t="s">
        <v>35</v>
      </c>
      <c r="I16" s="4" t="s">
        <v>34</v>
      </c>
    </row>
    <row r="17" spans="1:9" ht="19.5" thickTop="1" x14ac:dyDescent="0.3">
      <c r="A17" s="27"/>
      <c r="B17" s="27"/>
      <c r="C17" s="35"/>
      <c r="D17" s="31" t="s">
        <v>16</v>
      </c>
      <c r="E17" s="31" t="s">
        <v>17</v>
      </c>
      <c r="F17" s="31" t="s">
        <v>18</v>
      </c>
      <c r="G17" s="31" t="s">
        <v>56</v>
      </c>
      <c r="H17" s="31" t="s">
        <v>19</v>
      </c>
      <c r="I17" s="4" t="s">
        <v>34</v>
      </c>
    </row>
    <row r="18" spans="1:9" ht="13.5" thickBot="1" x14ac:dyDescent="0.25">
      <c r="A18" s="8"/>
      <c r="B18" s="8"/>
      <c r="C18" s="36"/>
      <c r="D18" s="43" t="s">
        <v>52</v>
      </c>
      <c r="E18" s="43" t="s">
        <v>53</v>
      </c>
      <c r="F18" s="43" t="s">
        <v>54</v>
      </c>
      <c r="G18" s="43" t="s">
        <v>57</v>
      </c>
      <c r="H18" s="43" t="s">
        <v>58</v>
      </c>
      <c r="I18" s="4" t="s">
        <v>34</v>
      </c>
    </row>
    <row r="19" spans="1:9" x14ac:dyDescent="0.2">
      <c r="A19" s="29" t="s">
        <v>55</v>
      </c>
      <c r="B19" s="29"/>
      <c r="C19" s="38"/>
      <c r="D19" s="44">
        <f>Date!D2*Date!B32</f>
        <v>189048.04470999999</v>
      </c>
      <c r="E19" s="44">
        <f>Date!D3*Date!B32</f>
        <v>34722.333160000002</v>
      </c>
      <c r="F19" s="44">
        <f>Date!D4*Date!B32</f>
        <v>237915.18799999999</v>
      </c>
      <c r="G19" s="44">
        <f>(Date!D5+Date!D6+Date!D7)*Date!B32</f>
        <v>19118.400000000001</v>
      </c>
      <c r="H19" s="44">
        <f>SUM(D19:G19)</f>
        <v>480803.96587000001</v>
      </c>
      <c r="I19" s="4" t="s">
        <v>34</v>
      </c>
    </row>
    <row r="20" spans="1:9" x14ac:dyDescent="0.2">
      <c r="A20" s="22" t="s">
        <v>59</v>
      </c>
      <c r="B20" s="22"/>
      <c r="C20" s="39"/>
      <c r="D20" s="45"/>
      <c r="E20" s="45"/>
      <c r="G20" s="45"/>
      <c r="H20" s="45"/>
      <c r="I20" s="4" t="s">
        <v>34</v>
      </c>
    </row>
    <row r="21" spans="1:9" x14ac:dyDescent="0.2">
      <c r="A21" s="22" t="s">
        <v>60</v>
      </c>
      <c r="B21" s="22"/>
      <c r="C21" s="39"/>
      <c r="D21" s="45"/>
      <c r="E21" s="45"/>
      <c r="F21" s="45">
        <f>Date!D20*Date!B32</f>
        <v>136696.86799999999</v>
      </c>
      <c r="G21" s="45"/>
      <c r="H21" s="45"/>
      <c r="I21" s="4" t="s">
        <v>34</v>
      </c>
    </row>
    <row r="22" spans="1:9" x14ac:dyDescent="0.2">
      <c r="A22" s="22" t="s">
        <v>61</v>
      </c>
      <c r="B22" s="22"/>
      <c r="C22" s="39"/>
      <c r="D22" s="45"/>
      <c r="E22" s="45"/>
      <c r="F22" s="45">
        <f>Date!D21*Date!B32</f>
        <v>101218.32</v>
      </c>
      <c r="G22" s="45"/>
      <c r="H22" s="45"/>
      <c r="I22" s="4" t="s">
        <v>34</v>
      </c>
    </row>
    <row r="23" spans="1:9" ht="13.5" thickBot="1" x14ac:dyDescent="0.25">
      <c r="A23" s="22" t="s">
        <v>62</v>
      </c>
      <c r="B23" s="22"/>
      <c r="C23" s="39"/>
      <c r="D23" s="45"/>
      <c r="E23" s="45"/>
      <c r="F23" s="45">
        <f>F19-F21-F22</f>
        <v>0</v>
      </c>
      <c r="G23" s="45"/>
      <c r="H23" s="45"/>
      <c r="I23" s="4" t="s">
        <v>34</v>
      </c>
    </row>
    <row r="24" spans="1:9" ht="13.5" hidden="1" thickBot="1" x14ac:dyDescent="0.25">
      <c r="A24" s="22" t="s">
        <v>80</v>
      </c>
      <c r="B24" s="22"/>
      <c r="C24" s="39"/>
      <c r="D24" s="45">
        <f>IF(Date!B36="Nu",-Date!D8*Date!B32,0)</f>
        <v>0</v>
      </c>
      <c r="E24" s="45"/>
      <c r="F24" s="45"/>
      <c r="G24" s="45"/>
      <c r="H24" s="45">
        <f>D24</f>
        <v>0</v>
      </c>
      <c r="I24" s="4" t="str">
        <f>IF(H24&lt;&gt;0,"Afisez","Nu afisez")</f>
        <v>Nu afisez</v>
      </c>
    </row>
    <row r="25" spans="1:9" ht="13.5" hidden="1" thickBot="1" x14ac:dyDescent="0.25">
      <c r="A25" s="22" t="s">
        <v>81</v>
      </c>
      <c r="B25" s="22"/>
      <c r="C25" s="84" t="str">
        <f>CONCATENATE(TEXT(Date!B24,REPLACE("#.####",2,1,Date!B38))," x")</f>
        <v>1. x</v>
      </c>
      <c r="D25" s="5">
        <f>IF(Date!B36="Nu",-Date!D9*Date!B32,0)</f>
        <v>0</v>
      </c>
      <c r="E25" s="45"/>
      <c r="F25" s="45"/>
      <c r="H25" s="45">
        <f>D25*Date!B24</f>
        <v>0</v>
      </c>
      <c r="I25" s="4" t="str">
        <f>IF(H25&lt;&gt;0,"Afisez","Nu afisez")</f>
        <v>Nu afisez</v>
      </c>
    </row>
    <row r="26" spans="1:9" ht="13.5" hidden="1" thickBot="1" x14ac:dyDescent="0.25">
      <c r="A26" s="22" t="s">
        <v>63</v>
      </c>
      <c r="B26" s="22"/>
      <c r="C26" s="39"/>
      <c r="D26" s="46">
        <f>Date!B5</f>
        <v>1</v>
      </c>
      <c r="E26" s="46">
        <f>Date!B10</f>
        <v>1</v>
      </c>
      <c r="F26" s="46">
        <f>Date!B11</f>
        <v>1</v>
      </c>
      <c r="G26" s="53">
        <f>IF(G19=0,1,G38/G19)</f>
        <v>1</v>
      </c>
      <c r="H26" s="45"/>
      <c r="I26" s="4" t="str">
        <f>IF(OR(D26&lt;&gt;1,E26&lt;&gt;1,F26&lt;&gt;1,G26&lt;&gt;1),"Afisez","Nu afisez")</f>
        <v>Nu afisez</v>
      </c>
    </row>
    <row r="27" spans="1:9" x14ac:dyDescent="0.2">
      <c r="A27" s="29" t="s">
        <v>64</v>
      </c>
      <c r="B27" s="29"/>
      <c r="C27" s="38"/>
      <c r="D27" s="44"/>
      <c r="E27" s="44"/>
      <c r="F27" s="44"/>
      <c r="G27" s="44"/>
      <c r="H27" s="44"/>
      <c r="I27" s="4" t="s">
        <v>34</v>
      </c>
    </row>
    <row r="28" spans="1:9" hidden="1" x14ac:dyDescent="0.2">
      <c r="A28" s="32" t="str">
        <f>CONCATENATE("  ",Date!A4)</f>
        <v xml:space="preserve">  Impozit manopera        </v>
      </c>
      <c r="B28" s="32"/>
      <c r="C28" s="108">
        <f>Date!B4</f>
        <v>0</v>
      </c>
      <c r="D28" s="48"/>
      <c r="E28" s="47">
        <f>E19*E26*C28</f>
        <v>0</v>
      </c>
      <c r="F28" s="48"/>
      <c r="G28" s="48"/>
      <c r="H28" s="49">
        <f t="shared" ref="H28:H33" si="0">E28</f>
        <v>0</v>
      </c>
      <c r="I28" s="4" t="str">
        <f>IF(H28&lt;&gt;0,"Afisez","Nu afisez")</f>
        <v>Nu afisez</v>
      </c>
    </row>
    <row r="29" spans="1:9" x14ac:dyDescent="0.2">
      <c r="A29" s="32" t="str">
        <f>CONCATENATE("  ",Date!A14)</f>
        <v xml:space="preserve">  C.A.S.                  </v>
      </c>
      <c r="B29" s="32"/>
      <c r="C29" s="109">
        <f>Date!B14</f>
        <v>0.20799999999999999</v>
      </c>
      <c r="D29" s="48"/>
      <c r="E29" s="5">
        <f>(E19*E26+E28)*C29</f>
        <v>7222.2452972800002</v>
      </c>
      <c r="F29" s="48"/>
      <c r="G29" s="48"/>
      <c r="H29" s="5">
        <f t="shared" si="0"/>
        <v>7222.2452972800002</v>
      </c>
      <c r="I29" s="4" t="str">
        <f>IF(OR(H29&lt;&gt;0,Date!F3="D"),"Afisez","Nu afisez")</f>
        <v>Afisez</v>
      </c>
    </row>
    <row r="30" spans="1:9" x14ac:dyDescent="0.2">
      <c r="A30" s="32" t="str">
        <f>CONCATENATE("  ",Date!A3)</f>
        <v xml:space="preserve">  C.A.S.S.                </v>
      </c>
      <c r="B30" s="32"/>
      <c r="C30" s="109">
        <f>Date!B3</f>
        <v>5.1999999999999998E-2</v>
      </c>
      <c r="D30" s="48"/>
      <c r="E30" s="47">
        <f>(E19*E26+E28)*C30</f>
        <v>1805.56132432</v>
      </c>
      <c r="F30" s="48"/>
      <c r="G30" s="48"/>
      <c r="H30" s="5">
        <f t="shared" si="0"/>
        <v>1805.56132432</v>
      </c>
      <c r="I30" s="4" t="str">
        <f>IF(OR(H30&lt;&gt;0,Date!F3="D"),"Afisez","Nu afisez")</f>
        <v>Afisez</v>
      </c>
    </row>
    <row r="31" spans="1:9" x14ac:dyDescent="0.2">
      <c r="A31" s="32" t="str">
        <f>CONCATENATE("  ",Date!A17)</f>
        <v xml:space="preserve">  Aj.somaj                </v>
      </c>
      <c r="B31" s="32"/>
      <c r="C31" s="109">
        <f>Date!B17</f>
        <v>5.0000000000000001E-3</v>
      </c>
      <c r="D31" s="47"/>
      <c r="E31" s="47">
        <f>(E19*E26+E28)*C31</f>
        <v>173.61166580000003</v>
      </c>
      <c r="F31" s="50"/>
      <c r="G31" s="50"/>
      <c r="H31" s="5">
        <f t="shared" si="0"/>
        <v>173.61166580000003</v>
      </c>
      <c r="I31" s="4" t="str">
        <f>IF(OR(H31&lt;&gt;0,Date!F3="D"),"Afisez","Nu afisez")</f>
        <v>Afisez</v>
      </c>
    </row>
    <row r="32" spans="1:9" x14ac:dyDescent="0.2">
      <c r="A32" s="32" t="str">
        <f>CONCATENATE("  ",Date!A2)</f>
        <v xml:space="preserve">  Acc. munca, boli profes.</v>
      </c>
      <c r="B32" s="32"/>
      <c r="C32" s="109">
        <f>Date!B2</f>
        <v>1.9599999999999999E-3</v>
      </c>
      <c r="D32" s="51"/>
      <c r="E32" s="47">
        <f>(E19*E26+E28)*C32</f>
        <v>68.055772993600002</v>
      </c>
      <c r="F32" s="51"/>
      <c r="G32" s="51"/>
      <c r="H32" s="5">
        <f t="shared" si="0"/>
        <v>68.055772993600002</v>
      </c>
      <c r="I32" s="4" t="str">
        <f>IF(OR(H32&lt;&gt;0,Date!F3="D"),"Afisez","Nu afisez")</f>
        <v>Afisez</v>
      </c>
    </row>
    <row r="33" spans="1:9" x14ac:dyDescent="0.2">
      <c r="A33" s="32" t="str">
        <f>CONCATENATE("  ",Date!A29)</f>
        <v xml:space="preserve">  C.C.I                   </v>
      </c>
      <c r="B33" s="32"/>
      <c r="C33" s="109">
        <f>Date!B29</f>
        <v>8.5000000000000006E-3</v>
      </c>
      <c r="D33" s="47"/>
      <c r="E33" s="47">
        <f>(E19*E26+E28)*C33</f>
        <v>295.13983186000002</v>
      </c>
      <c r="F33" s="47"/>
      <c r="G33" s="47"/>
      <c r="H33" s="5">
        <f t="shared" si="0"/>
        <v>295.13983186000002</v>
      </c>
      <c r="I33" s="4" t="str">
        <f>IF(OR(H33&lt;&gt;0,Date!F3="D"),"Afisez","Nu afisez")</f>
        <v>Afisez</v>
      </c>
    </row>
    <row r="34" spans="1:9" hidden="1" x14ac:dyDescent="0.2">
      <c r="A34" s="32" t="str">
        <f>CONCATENATE("  ",Date!A25)</f>
        <v xml:space="preserve">  Comision ITM            </v>
      </c>
      <c r="B34" s="32"/>
      <c r="C34" s="109">
        <f>Date!B25</f>
        <v>0</v>
      </c>
      <c r="D34" s="47"/>
      <c r="E34" s="47">
        <f>(E19*E26+E28)*C34</f>
        <v>0</v>
      </c>
      <c r="F34" s="47"/>
      <c r="G34" s="47"/>
      <c r="H34" s="5">
        <f>E34</f>
        <v>0</v>
      </c>
      <c r="I34" s="4" t="str">
        <f>IF(OR(H34&lt;&gt;0,Date!F3="D"),"Afisez","Nu afisez")</f>
        <v>Nu afisez</v>
      </c>
    </row>
    <row r="35" spans="1:9" ht="13.5" thickBot="1" x14ac:dyDescent="0.25">
      <c r="A35" s="32" t="str">
        <f>CONCATENATE("  ",Date!A26)</f>
        <v xml:space="preserve">  Fond garantare          </v>
      </c>
      <c r="B35" s="32"/>
      <c r="C35" s="109">
        <f>Date!B26</f>
        <v>2.5000000000000001E-3</v>
      </c>
      <c r="D35" s="47"/>
      <c r="E35" s="47">
        <f>(E19*E26+E28)*C35</f>
        <v>86.805832900000013</v>
      </c>
      <c r="F35" s="47"/>
      <c r="G35" s="47"/>
      <c r="H35" s="5">
        <f>E35</f>
        <v>86.805832900000013</v>
      </c>
      <c r="I35" s="4" t="str">
        <f>IF(OR(H35&lt;&gt;0,Date!F3="D"),"Afisez","Nu afisez")</f>
        <v>Afisez</v>
      </c>
    </row>
    <row r="36" spans="1:9" ht="12.75" hidden="1" customHeight="1" thickBot="1" x14ac:dyDescent="0.25">
      <c r="A36" s="32" t="str">
        <f>CONCATENATE("  ",Date!A6)</f>
        <v xml:space="preserve">  Chelt.tr.aprov.,depozit.</v>
      </c>
      <c r="B36" s="32"/>
      <c r="C36" s="110">
        <f>Date!B6</f>
        <v>0</v>
      </c>
      <c r="D36" s="47">
        <f>(D19+H24+H25)*D26*C36</f>
        <v>0</v>
      </c>
      <c r="E36" s="45"/>
      <c r="F36" s="45"/>
      <c r="G36" s="45"/>
      <c r="H36" s="116">
        <f>D36</f>
        <v>0</v>
      </c>
      <c r="I36" s="4" t="str">
        <f>IF(H36&lt;&gt;0,"Afisez","Nu afisez")</f>
        <v>Nu afisez</v>
      </c>
    </row>
    <row r="37" spans="1:9" x14ac:dyDescent="0.2">
      <c r="A37" s="34"/>
      <c r="B37" s="34"/>
      <c r="C37" s="37"/>
      <c r="D37" s="42" t="s">
        <v>66</v>
      </c>
      <c r="E37" s="42" t="s">
        <v>67</v>
      </c>
      <c r="F37" s="42" t="s">
        <v>68</v>
      </c>
      <c r="G37" s="42" t="s">
        <v>69</v>
      </c>
      <c r="H37" s="42" t="s">
        <v>70</v>
      </c>
      <c r="I37" s="4" t="s">
        <v>34</v>
      </c>
    </row>
    <row r="38" spans="1:9" ht="13.5" thickBot="1" x14ac:dyDescent="0.25">
      <c r="A38" s="33" t="s">
        <v>65</v>
      </c>
      <c r="B38" s="33"/>
      <c r="C38" s="40"/>
      <c r="D38" s="52">
        <f>(D19+H24+H25)*D26+D36</f>
        <v>189048.04470999999</v>
      </c>
      <c r="E38" s="52">
        <f>E19*E26+E28+E29+E30+E31+E32+E33+E34+E35</f>
        <v>44373.752885153597</v>
      </c>
      <c r="F38" s="52">
        <f>F19*F26</f>
        <v>237915.18799999999</v>
      </c>
      <c r="G38" s="52">
        <f>(Date!D5*Date!B7+Date!D6*Date!B8+Date!D7*Date!B9)*Date!B32</f>
        <v>19118.400000000001</v>
      </c>
      <c r="H38" s="52">
        <f>SUM(D38:G38)</f>
        <v>490455.38559515361</v>
      </c>
      <c r="I38" s="4" t="s">
        <v>34</v>
      </c>
    </row>
    <row r="39" spans="1:9" ht="13.5" thickBot="1" x14ac:dyDescent="0.25">
      <c r="A39" s="57" t="str">
        <f>Date!A15</f>
        <v xml:space="preserve">Cheltuieli indirecte    </v>
      </c>
      <c r="B39" s="58" t="s">
        <v>71</v>
      </c>
      <c r="C39" s="111">
        <f>Date!B15</f>
        <v>0.08</v>
      </c>
      <c r="D39" s="54" t="s">
        <v>76</v>
      </c>
      <c r="E39" s="55"/>
      <c r="F39" s="56"/>
      <c r="G39" s="56"/>
      <c r="H39" s="45">
        <f>H38*C39</f>
        <v>39236.43084761229</v>
      </c>
      <c r="I39" s="4" t="s">
        <v>34</v>
      </c>
    </row>
    <row r="40" spans="1:9" ht="13.5" hidden="1" thickBot="1" x14ac:dyDescent="0.25">
      <c r="A40" s="57" t="s">
        <v>82</v>
      </c>
      <c r="B40" s="58"/>
      <c r="C40" s="59"/>
      <c r="D40" s="54"/>
      <c r="E40" s="55"/>
      <c r="F40" s="56"/>
      <c r="G40" s="56"/>
      <c r="H40" s="45"/>
      <c r="I40" s="4" t="str">
        <f>IF(Date!$B$37="D","Afisez","Nu afisez")</f>
        <v>Nu afisez</v>
      </c>
    </row>
    <row r="41" spans="1:9" ht="13.5" hidden="1" thickBot="1" x14ac:dyDescent="0.25">
      <c r="A41" s="60" t="str">
        <f>CONCATENATE("a-",Date!A13)</f>
        <v xml:space="preserve">a-Salarii maistri         </v>
      </c>
      <c r="B41" s="58"/>
      <c r="C41" s="111">
        <f>Date!B13</f>
        <v>0</v>
      </c>
      <c r="D41" s="54" t="s">
        <v>85</v>
      </c>
      <c r="E41" s="55"/>
      <c r="F41" s="56"/>
      <c r="G41" s="56"/>
      <c r="H41" s="45">
        <f>(E38-(E29+E30+E31+E32+E33+E34+E35))*C41</f>
        <v>0</v>
      </c>
      <c r="I41" s="4" t="str">
        <f>IF(Date!$B$37="D","Afisez","Nu afisez")</f>
        <v>Nu afisez</v>
      </c>
    </row>
    <row r="42" spans="1:9" ht="13.5" hidden="1" thickBot="1" x14ac:dyDescent="0.25">
      <c r="A42" s="32" t="str">
        <f>CONCATENATE("b-",Date!A16)</f>
        <v xml:space="preserve">b-Manopera indirecta      </v>
      </c>
      <c r="B42" s="58"/>
      <c r="C42" s="111">
        <f>Date!B16</f>
        <v>0</v>
      </c>
      <c r="D42" s="54" t="s">
        <v>84</v>
      </c>
      <c r="E42" s="55"/>
      <c r="F42" s="56"/>
      <c r="G42" s="56"/>
      <c r="H42" s="45">
        <f>(H38-(E29+E30+E31+E32+E33+E33+E35))*C42</f>
        <v>0</v>
      </c>
      <c r="I42" s="4" t="str">
        <f>IF(Date!$B$37="D","Afisez","Nu afisez")</f>
        <v>Nu afisez</v>
      </c>
    </row>
    <row r="43" spans="1:9" ht="13.5" hidden="1" thickBot="1" x14ac:dyDescent="0.25">
      <c r="A43" s="32" t="str">
        <f>CONCATENATE("c-",Date!A14)</f>
        <v xml:space="preserve">c-C.A.S.                  </v>
      </c>
      <c r="B43" s="58"/>
      <c r="C43" s="112">
        <f>Date!B14</f>
        <v>0.20799999999999999</v>
      </c>
      <c r="D43" s="54" t="s">
        <v>83</v>
      </c>
      <c r="E43" s="55"/>
      <c r="F43" s="56"/>
      <c r="G43" s="56"/>
      <c r="H43" s="45">
        <f>(H41+H42)*C43</f>
        <v>0</v>
      </c>
      <c r="I43" s="4" t="str">
        <f>IF(Date!$B$37="D","Afisez","Nu afisez")</f>
        <v>Nu afisez</v>
      </c>
    </row>
    <row r="44" spans="1:9" ht="13.5" hidden="1" thickBot="1" x14ac:dyDescent="0.25">
      <c r="A44" s="32" t="str">
        <f>CONCATENATE("d-",Date!A3)</f>
        <v xml:space="preserve">d-C.A.S.S.                </v>
      </c>
      <c r="B44" s="58"/>
      <c r="C44" s="112">
        <f>Date!B3</f>
        <v>5.1999999999999998E-2</v>
      </c>
      <c r="D44" s="54" t="s">
        <v>83</v>
      </c>
      <c r="E44" s="55"/>
      <c r="F44" s="56"/>
      <c r="G44" s="56"/>
      <c r="H44" s="45">
        <f>(H41+H42)*C44</f>
        <v>0</v>
      </c>
      <c r="I44" s="4" t="str">
        <f>IF(Date!$B$37="D","Afisez","Nu afisez")</f>
        <v>Nu afisez</v>
      </c>
    </row>
    <row r="45" spans="1:9" ht="13.5" hidden="1" thickBot="1" x14ac:dyDescent="0.25">
      <c r="A45" s="32" t="str">
        <f>CONCATENATE("e-",Date!A17)</f>
        <v xml:space="preserve">e-Aj.somaj                </v>
      </c>
      <c r="B45" s="58"/>
      <c r="C45" s="112">
        <f>Date!B17</f>
        <v>5.0000000000000001E-3</v>
      </c>
      <c r="D45" s="54" t="s">
        <v>83</v>
      </c>
      <c r="E45" s="55"/>
      <c r="F45" s="56"/>
      <c r="G45" s="56"/>
      <c r="H45" s="45">
        <f>(H41+H42)*C45</f>
        <v>0</v>
      </c>
      <c r="I45" s="4" t="str">
        <f>IF(Date!$B$37="D","Afisez","Nu afisez")</f>
        <v>Nu afisez</v>
      </c>
    </row>
    <row r="46" spans="1:9" ht="13.5" hidden="1" thickBot="1" x14ac:dyDescent="0.25">
      <c r="A46" s="32" t="str">
        <f>CONCATENATE("f-",Date!A2)</f>
        <v>f-Acc. munca, boli profes.</v>
      </c>
      <c r="B46" s="58"/>
      <c r="C46" s="112">
        <f>Date!B2</f>
        <v>1.9599999999999999E-3</v>
      </c>
      <c r="D46" s="54" t="s">
        <v>83</v>
      </c>
      <c r="E46" s="55"/>
      <c r="F46" s="56"/>
      <c r="G46" s="56"/>
      <c r="H46" s="45">
        <f>(H41+H42)*C46</f>
        <v>0</v>
      </c>
      <c r="I46" s="4" t="str">
        <f>IF(Date!$B$37="D","Afisez","Nu afisez")</f>
        <v>Nu afisez</v>
      </c>
    </row>
    <row r="47" spans="1:9" ht="13.5" hidden="1" thickBot="1" x14ac:dyDescent="0.25">
      <c r="A47" s="32" t="str">
        <f>CONCATENATE("g-",Date!A29)</f>
        <v xml:space="preserve">g-C.C.I                   </v>
      </c>
      <c r="B47" s="58"/>
      <c r="C47" s="112">
        <f>Date!B29</f>
        <v>8.5000000000000006E-3</v>
      </c>
      <c r="D47" s="54" t="s">
        <v>83</v>
      </c>
      <c r="E47" s="55"/>
      <c r="F47" s="56"/>
      <c r="G47" s="56"/>
      <c r="H47" s="45">
        <f>(H41+H42)*C47</f>
        <v>0</v>
      </c>
      <c r="I47" s="4" t="str">
        <f>IF(Date!$B$37="D","Afisez","Nu afisez")</f>
        <v>Nu afisez</v>
      </c>
    </row>
    <row r="48" spans="1:9" ht="13.5" hidden="1" thickBot="1" x14ac:dyDescent="0.25">
      <c r="A48" s="32" t="str">
        <f>CONCATENATE("h-",Date!A25)</f>
        <v xml:space="preserve">h-Comision ITM            </v>
      </c>
      <c r="B48" s="58"/>
      <c r="C48" s="112">
        <f>Date!B25</f>
        <v>0</v>
      </c>
      <c r="D48" s="54" t="s">
        <v>83</v>
      </c>
      <c r="E48" s="55"/>
      <c r="F48" s="56"/>
      <c r="G48" s="56"/>
      <c r="H48" s="45">
        <f>(H41+H42)*C48</f>
        <v>0</v>
      </c>
      <c r="I48" s="4" t="str">
        <f>IF(Date!$B$37="D","Afisez","Nu afisez")</f>
        <v>Nu afisez</v>
      </c>
    </row>
    <row r="49" spans="1:9" ht="13.5" hidden="1" thickBot="1" x14ac:dyDescent="0.25">
      <c r="A49" s="32" t="str">
        <f>CONCATENATE("i-",Date!A26)</f>
        <v xml:space="preserve">i-Fond garantare          </v>
      </c>
      <c r="B49" s="58"/>
      <c r="C49" s="112">
        <f>Date!B26</f>
        <v>2.5000000000000001E-3</v>
      </c>
      <c r="D49" s="54" t="s">
        <v>83</v>
      </c>
      <c r="E49" s="55"/>
      <c r="F49" s="56"/>
      <c r="G49" s="56"/>
      <c r="H49" s="45">
        <f>(H41+H42)*C49</f>
        <v>0</v>
      </c>
      <c r="I49" s="4" t="str">
        <f>IF(Date!$B$37="D","Afisez","Nu afisez")</f>
        <v>Nu afisez</v>
      </c>
    </row>
    <row r="50" spans="1:9" ht="13.5" hidden="1" thickBot="1" x14ac:dyDescent="0.25">
      <c r="A50" s="60" t="s">
        <v>98</v>
      </c>
      <c r="C50" s="54" t="s">
        <v>99</v>
      </c>
      <c r="D50" s="61"/>
      <c r="E50" s="55"/>
      <c r="F50" s="56"/>
      <c r="G50" s="56"/>
      <c r="H50" s="45">
        <f>H39-(H41+H42+H43+H44+H45+H46+H47+H48+H49)</f>
        <v>39236.43084761229</v>
      </c>
      <c r="I50" s="4" t="str">
        <f>IF(Date!$B$37="D","Afisez","Nu afisez")</f>
        <v>Nu afisez</v>
      </c>
    </row>
    <row r="51" spans="1:9" ht="13.5" thickBot="1" x14ac:dyDescent="0.25">
      <c r="A51" s="62" t="str">
        <f>Date!A19</f>
        <v xml:space="preserve">Profit                  </v>
      </c>
      <c r="B51" s="63" t="s">
        <v>72</v>
      </c>
      <c r="C51" s="115">
        <f>Date!B19</f>
        <v>0.05</v>
      </c>
      <c r="D51" s="64" t="s">
        <v>77</v>
      </c>
      <c r="E51" s="65"/>
      <c r="F51" s="66"/>
      <c r="G51" s="66"/>
      <c r="H51" s="67">
        <f>(H38+H39)*C51</f>
        <v>26484.590822138296</v>
      </c>
      <c r="I51" s="4" t="s">
        <v>34</v>
      </c>
    </row>
    <row r="52" spans="1:9" ht="13.5" hidden="1" thickBot="1" x14ac:dyDescent="0.25">
      <c r="A52" s="103" t="s">
        <v>80</v>
      </c>
      <c r="B52" s="104"/>
      <c r="C52" s="105" t="str">
        <f>CONCATENATE(TEXT(Date!B5,REPLACE("#.####",2,1,Date!B38))," x")</f>
        <v>1. x</v>
      </c>
      <c r="D52" s="67">
        <f>IF(Date!B36="Nu",-Date!D8*Date!B32,0)</f>
        <v>0</v>
      </c>
      <c r="E52" s="67"/>
      <c r="F52" s="67"/>
      <c r="G52" s="67"/>
      <c r="H52" s="67">
        <f>D52*Date!B5</f>
        <v>0</v>
      </c>
      <c r="I52" s="4" t="str">
        <f>IF(H52&lt;&gt;0,"Afisez","Nu afisez")</f>
        <v>Nu afisez</v>
      </c>
    </row>
    <row r="53" spans="1:9" ht="13.5" hidden="1" thickBot="1" x14ac:dyDescent="0.25">
      <c r="A53" s="22" t="s">
        <v>81</v>
      </c>
      <c r="B53" s="22"/>
      <c r="C53" s="6" t="str">
        <f>CONCATENATE(TEXT(Date!B24,REPLACE("#.####",2,1,Date!B38))," x ",TEXT(Date!B5,REPLACE("#.####",2,1,Date!B38))," x")</f>
        <v>1. x 1. x</v>
      </c>
      <c r="D53" s="5">
        <f>IF(Date!B36="Nu",-Date!D9*Date!B32,0)</f>
        <v>0</v>
      </c>
      <c r="E53" s="45"/>
      <c r="F53" s="45"/>
      <c r="H53" s="45">
        <f>D53*Date!B24*Date!B5</f>
        <v>0</v>
      </c>
      <c r="I53" s="4" t="str">
        <f>IF(H53&lt;&gt;0,"Afisez","Nu afisez")</f>
        <v>Nu afisez</v>
      </c>
    </row>
    <row r="54" spans="1:9" ht="13.5" thickTop="1" x14ac:dyDescent="0.2">
      <c r="A54" s="70" t="s">
        <v>74</v>
      </c>
      <c r="B54" s="71" t="s">
        <v>73</v>
      </c>
      <c r="C54" s="72" t="s">
        <v>75</v>
      </c>
      <c r="D54" s="73"/>
      <c r="E54" s="74"/>
      <c r="F54" s="75"/>
      <c r="G54" s="75"/>
      <c r="H54" s="76">
        <f>H38+H39+H51+H52+H53</f>
        <v>556176.40726490412</v>
      </c>
      <c r="I54" s="4" t="s">
        <v>34</v>
      </c>
    </row>
    <row r="55" spans="1:9" x14ac:dyDescent="0.2">
      <c r="A55" s="7"/>
      <c r="B55" s="7"/>
      <c r="E55" s="13"/>
      <c r="H55" s="5"/>
      <c r="I55" s="4" t="s">
        <v>34</v>
      </c>
    </row>
    <row r="56" spans="1:9" x14ac:dyDescent="0.2">
      <c r="A56" s="7"/>
      <c r="B56" s="7"/>
      <c r="E56" s="12"/>
      <c r="H56" s="5"/>
      <c r="I56" s="4" t="s">
        <v>34</v>
      </c>
    </row>
    <row r="57" spans="1:9" x14ac:dyDescent="0.2">
      <c r="A57" s="7"/>
      <c r="B57" s="7"/>
      <c r="E57" s="68" t="s">
        <v>86</v>
      </c>
      <c r="H57" s="5"/>
      <c r="I57" s="4" t="s">
        <v>34</v>
      </c>
    </row>
    <row r="58" spans="1:9" x14ac:dyDescent="0.2">
      <c r="A58" s="7"/>
      <c r="B58" s="7"/>
      <c r="H58" s="5"/>
      <c r="I58" s="4" t="s">
        <v>34</v>
      </c>
    </row>
    <row r="59" spans="1:9" x14ac:dyDescent="0.2">
      <c r="A59" s="7"/>
      <c r="B59" s="7"/>
      <c r="E59" s="12"/>
      <c r="H59" s="5"/>
      <c r="I59" s="4" t="s">
        <v>34</v>
      </c>
    </row>
    <row r="60" spans="1:9" x14ac:dyDescent="0.2">
      <c r="A60" s="20"/>
      <c r="B60" s="20"/>
      <c r="C60" s="21"/>
      <c r="D60" s="21"/>
      <c r="E60" s="28"/>
      <c r="H60" s="5"/>
      <c r="I60" s="4" t="s">
        <v>34</v>
      </c>
    </row>
    <row r="61" spans="1:9" ht="16.5" x14ac:dyDescent="0.3">
      <c r="A61" s="121" t="s">
        <v>140</v>
      </c>
      <c r="B61" s="122" t="s">
        <v>141</v>
      </c>
      <c r="C61" s="120"/>
      <c r="D61" s="120"/>
      <c r="E61" s="120"/>
      <c r="F61" s="120"/>
      <c r="G61" s="120"/>
      <c r="H61" s="120"/>
      <c r="I61" s="4" t="s">
        <v>34</v>
      </c>
    </row>
    <row r="62" spans="1:9" hidden="1" x14ac:dyDescent="0.2">
      <c r="A62" s="8"/>
      <c r="B62" s="8"/>
      <c r="E62" s="5"/>
      <c r="F62" s="5"/>
      <c r="G62" s="5"/>
      <c r="H62" s="5"/>
      <c r="I62" s="4"/>
    </row>
    <row r="63" spans="1:9" ht="13.5" hidden="1" x14ac:dyDescent="0.25">
      <c r="A63" s="118" t="s">
        <v>133</v>
      </c>
      <c r="B63" s="8"/>
      <c r="C63" s="6"/>
      <c r="D63" s="5"/>
      <c r="E63" s="5"/>
      <c r="F63" s="5"/>
      <c r="G63" s="5"/>
      <c r="H63" s="5"/>
      <c r="I63" s="4"/>
    </row>
    <row r="64" spans="1:9" hidden="1" x14ac:dyDescent="0.2">
      <c r="A64" s="7"/>
      <c r="B64" s="7"/>
      <c r="E64" s="12"/>
      <c r="H64" s="5"/>
    </row>
    <row r="65" spans="1:8" ht="15" hidden="1" x14ac:dyDescent="0.25">
      <c r="A65" s="23"/>
      <c r="B65" s="23"/>
      <c r="C65" s="24"/>
      <c r="D65" s="24"/>
      <c r="E65" s="25"/>
      <c r="F65" s="24"/>
      <c r="G65" s="24"/>
      <c r="H65" s="26"/>
    </row>
    <row r="66" spans="1:8" hidden="1" x14ac:dyDescent="0.2"/>
    <row r="67" spans="1:8" hidden="1" x14ac:dyDescent="0.2"/>
    <row r="68" spans="1:8" hidden="1" x14ac:dyDescent="0.2">
      <c r="F68" s="7"/>
      <c r="G68" s="7"/>
    </row>
    <row r="69" spans="1:8" ht="16.5" x14ac:dyDescent="0.3">
      <c r="A69" s="124" t="s">
        <v>142</v>
      </c>
      <c r="B69" s="125" t="s">
        <v>143</v>
      </c>
      <c r="C69" s="123"/>
      <c r="D69" s="123"/>
      <c r="E69" s="123"/>
      <c r="F69" s="123"/>
      <c r="G69" s="123"/>
      <c r="H69" s="123"/>
    </row>
    <row r="70" spans="1:8" ht="16.5" x14ac:dyDescent="0.3">
      <c r="A70" s="127" t="s">
        <v>144</v>
      </c>
      <c r="B70" s="128" t="s">
        <v>145</v>
      </c>
      <c r="C70" s="126"/>
      <c r="D70" s="126"/>
      <c r="E70" s="126"/>
      <c r="F70" s="126"/>
      <c r="G70" s="126"/>
      <c r="H70" s="126"/>
    </row>
    <row r="71" spans="1:8" ht="16.5" x14ac:dyDescent="0.3">
      <c r="A71" s="130" t="s">
        <v>146</v>
      </c>
      <c r="B71" s="131" t="s">
        <v>147</v>
      </c>
      <c r="C71" s="129"/>
      <c r="D71" s="129"/>
      <c r="E71" s="129"/>
      <c r="F71" s="129"/>
      <c r="G71" s="129"/>
      <c r="H71" s="129"/>
    </row>
    <row r="72" spans="1:8" ht="24" thickBot="1" x14ac:dyDescent="0.4">
      <c r="A72" s="132"/>
      <c r="B72" s="132"/>
      <c r="C72" s="132"/>
      <c r="D72" s="132"/>
      <c r="E72" s="138" t="s">
        <v>35</v>
      </c>
      <c r="F72" s="132"/>
      <c r="G72" s="132"/>
      <c r="H72" s="132"/>
    </row>
    <row r="73" spans="1:8" ht="19.5" thickTop="1" x14ac:dyDescent="0.3">
      <c r="A73" s="140"/>
      <c r="B73" s="140"/>
      <c r="C73" s="146"/>
      <c r="D73" s="142" t="s">
        <v>16</v>
      </c>
      <c r="E73" s="142" t="s">
        <v>17</v>
      </c>
      <c r="F73" s="142" t="s">
        <v>18</v>
      </c>
      <c r="G73" s="142" t="s">
        <v>56</v>
      </c>
      <c r="H73" s="142" t="s">
        <v>19</v>
      </c>
    </row>
    <row r="74" spans="1:8" ht="13.5" thickBot="1" x14ac:dyDescent="0.25">
      <c r="A74" s="135"/>
      <c r="B74" s="135"/>
      <c r="C74" s="147"/>
      <c r="D74" s="153" t="s">
        <v>52</v>
      </c>
      <c r="E74" s="153" t="s">
        <v>53</v>
      </c>
      <c r="F74" s="153" t="s">
        <v>54</v>
      </c>
      <c r="G74" s="153" t="s">
        <v>57</v>
      </c>
      <c r="H74" s="153" t="s">
        <v>58</v>
      </c>
    </row>
    <row r="75" spans="1:8" x14ac:dyDescent="0.2">
      <c r="A75" s="141" t="s">
        <v>55</v>
      </c>
      <c r="B75" s="141"/>
      <c r="C75" s="149"/>
      <c r="D75" s="154">
        <v>14767.47875</v>
      </c>
      <c r="E75" s="154">
        <v>4150.0658100000001</v>
      </c>
      <c r="F75" s="154">
        <v>27165.895400000001</v>
      </c>
      <c r="G75" s="154">
        <v>1969.41</v>
      </c>
      <c r="H75" s="154">
        <v>48052.849960000007</v>
      </c>
    </row>
    <row r="76" spans="1:8" x14ac:dyDescent="0.2">
      <c r="A76" s="139" t="s">
        <v>59</v>
      </c>
      <c r="B76" s="139"/>
      <c r="C76" s="150"/>
      <c r="D76" s="155"/>
      <c r="E76" s="155"/>
      <c r="F76" s="132"/>
      <c r="G76" s="155"/>
      <c r="H76" s="155"/>
    </row>
    <row r="77" spans="1:8" x14ac:dyDescent="0.2">
      <c r="A77" s="139" t="s">
        <v>60</v>
      </c>
      <c r="B77" s="139"/>
      <c r="C77" s="150"/>
      <c r="D77" s="155"/>
      <c r="E77" s="155"/>
      <c r="F77" s="155">
        <v>15488.215399999999</v>
      </c>
      <c r="G77" s="155"/>
      <c r="H77" s="155"/>
    </row>
    <row r="78" spans="1:8" x14ac:dyDescent="0.2">
      <c r="A78" s="139" t="s">
        <v>61</v>
      </c>
      <c r="B78" s="139"/>
      <c r="C78" s="150"/>
      <c r="D78" s="155"/>
      <c r="E78" s="155"/>
      <c r="F78" s="155">
        <v>11677.68</v>
      </c>
      <c r="G78" s="155"/>
      <c r="H78" s="155"/>
    </row>
    <row r="79" spans="1:8" ht="13.5" thickBot="1" x14ac:dyDescent="0.25">
      <c r="A79" s="139" t="s">
        <v>62</v>
      </c>
      <c r="B79" s="139"/>
      <c r="C79" s="150"/>
      <c r="D79" s="155"/>
      <c r="E79" s="155"/>
      <c r="F79" s="155">
        <v>0</v>
      </c>
      <c r="G79" s="155"/>
      <c r="H79" s="155"/>
    </row>
    <row r="80" spans="1:8" x14ac:dyDescent="0.2">
      <c r="A80" s="141" t="s">
        <v>64</v>
      </c>
      <c r="B80" s="141"/>
      <c r="C80" s="149"/>
      <c r="D80" s="154"/>
      <c r="E80" s="154"/>
      <c r="F80" s="154"/>
      <c r="G80" s="154"/>
      <c r="H80" s="154"/>
    </row>
    <row r="81" spans="1:8" x14ac:dyDescent="0.2">
      <c r="A81" s="143" t="s">
        <v>148</v>
      </c>
      <c r="B81" s="143"/>
      <c r="C81" s="180">
        <v>0.20799999999999999</v>
      </c>
      <c r="D81" s="157"/>
      <c r="E81" s="133">
        <v>863.21368847999997</v>
      </c>
      <c r="F81" s="157"/>
      <c r="G81" s="157"/>
      <c r="H81" s="133">
        <v>863.21368847999997</v>
      </c>
    </row>
    <row r="82" spans="1:8" x14ac:dyDescent="0.2">
      <c r="A82" s="143" t="s">
        <v>149</v>
      </c>
      <c r="B82" s="143"/>
      <c r="C82" s="180">
        <v>5.1999999999999998E-2</v>
      </c>
      <c r="D82" s="157"/>
      <c r="E82" s="156">
        <v>215.80342211999999</v>
      </c>
      <c r="F82" s="157"/>
      <c r="G82" s="157"/>
      <c r="H82" s="133">
        <v>215.80342211999999</v>
      </c>
    </row>
    <row r="83" spans="1:8" x14ac:dyDescent="0.2">
      <c r="A83" s="143" t="s">
        <v>150</v>
      </c>
      <c r="B83" s="143"/>
      <c r="C83" s="180">
        <v>5.0000000000000001E-3</v>
      </c>
      <c r="D83" s="156"/>
      <c r="E83" s="156">
        <v>20.750329050000001</v>
      </c>
      <c r="F83" s="158"/>
      <c r="G83" s="158"/>
      <c r="H83" s="133">
        <v>20.750329050000001</v>
      </c>
    </row>
    <row r="84" spans="1:8" x14ac:dyDescent="0.2">
      <c r="A84" s="143" t="s">
        <v>151</v>
      </c>
      <c r="B84" s="143"/>
      <c r="C84" s="180">
        <v>1.9599999999999999E-3</v>
      </c>
      <c r="D84" s="159"/>
      <c r="E84" s="156">
        <v>8.1341289876000005</v>
      </c>
      <c r="F84" s="159"/>
      <c r="G84" s="159"/>
      <c r="H84" s="133">
        <v>8.1341289876000005</v>
      </c>
    </row>
    <row r="85" spans="1:8" x14ac:dyDescent="0.2">
      <c r="A85" s="143" t="s">
        <v>152</v>
      </c>
      <c r="B85" s="143"/>
      <c r="C85" s="180">
        <v>8.5000000000000006E-3</v>
      </c>
      <c r="D85" s="156"/>
      <c r="E85" s="156">
        <v>35.275559385000001</v>
      </c>
      <c r="F85" s="156"/>
      <c r="G85" s="156"/>
      <c r="H85" s="133">
        <v>35.275559385000001</v>
      </c>
    </row>
    <row r="86" spans="1:8" ht="13.5" thickBot="1" x14ac:dyDescent="0.25">
      <c r="A86" s="143" t="s">
        <v>153</v>
      </c>
      <c r="B86" s="143"/>
      <c r="C86" s="180">
        <v>2.5000000000000001E-3</v>
      </c>
      <c r="D86" s="156"/>
      <c r="E86" s="156">
        <v>10.375164525000001</v>
      </c>
      <c r="F86" s="156"/>
      <c r="G86" s="156"/>
      <c r="H86" s="133">
        <v>10.375164525000001</v>
      </c>
    </row>
    <row r="87" spans="1:8" x14ac:dyDescent="0.2">
      <c r="A87" s="145"/>
      <c r="B87" s="145"/>
      <c r="C87" s="148"/>
      <c r="D87" s="152" t="s">
        <v>66</v>
      </c>
      <c r="E87" s="152" t="s">
        <v>67</v>
      </c>
      <c r="F87" s="152" t="s">
        <v>68</v>
      </c>
      <c r="G87" s="152" t="s">
        <v>69</v>
      </c>
      <c r="H87" s="152" t="s">
        <v>70</v>
      </c>
    </row>
    <row r="88" spans="1:8" ht="13.5" thickBot="1" x14ac:dyDescent="0.25">
      <c r="A88" s="144" t="s">
        <v>65</v>
      </c>
      <c r="B88" s="144"/>
      <c r="C88" s="151"/>
      <c r="D88" s="160">
        <v>14767.47875</v>
      </c>
      <c r="E88" s="160">
        <v>5303.6181025475998</v>
      </c>
      <c r="F88" s="160">
        <v>27165.895400000001</v>
      </c>
      <c r="G88" s="160">
        <v>1969.41</v>
      </c>
      <c r="H88" s="160">
        <v>49206.402252547603</v>
      </c>
    </row>
    <row r="89" spans="1:8" ht="13.5" thickBot="1" x14ac:dyDescent="0.25">
      <c r="A89" s="164" t="s">
        <v>113</v>
      </c>
      <c r="B89" s="165" t="s">
        <v>71</v>
      </c>
      <c r="C89" s="181">
        <v>0.08</v>
      </c>
      <c r="D89" s="161" t="s">
        <v>76</v>
      </c>
      <c r="E89" s="162"/>
      <c r="F89" s="163"/>
      <c r="G89" s="163"/>
      <c r="H89" s="155">
        <v>3936.5121802038084</v>
      </c>
    </row>
    <row r="90" spans="1:8" ht="13.5" thickBot="1" x14ac:dyDescent="0.25">
      <c r="A90" s="166" t="s">
        <v>117</v>
      </c>
      <c r="B90" s="167" t="s">
        <v>72</v>
      </c>
      <c r="C90" s="182">
        <v>0.05</v>
      </c>
      <c r="D90" s="168" t="s">
        <v>77</v>
      </c>
      <c r="E90" s="169"/>
      <c r="F90" s="170"/>
      <c r="G90" s="170"/>
      <c r="H90" s="171">
        <v>2657.1457216375707</v>
      </c>
    </row>
    <row r="91" spans="1:8" ht="13.5" thickTop="1" x14ac:dyDescent="0.2">
      <c r="A91" s="173" t="s">
        <v>74</v>
      </c>
      <c r="B91" s="174" t="s">
        <v>73</v>
      </c>
      <c r="C91" s="175" t="s">
        <v>75</v>
      </c>
      <c r="D91" s="176"/>
      <c r="E91" s="177"/>
      <c r="F91" s="178"/>
      <c r="G91" s="178"/>
      <c r="H91" s="179">
        <v>55800.060154388979</v>
      </c>
    </row>
    <row r="92" spans="1:8" x14ac:dyDescent="0.2">
      <c r="A92" s="134"/>
      <c r="B92" s="134"/>
      <c r="C92" s="132"/>
      <c r="D92" s="132"/>
      <c r="E92" s="137"/>
      <c r="F92" s="132"/>
      <c r="G92" s="132"/>
      <c r="H92" s="133"/>
    </row>
    <row r="93" spans="1:8" x14ac:dyDescent="0.2">
      <c r="A93" s="134"/>
      <c r="B93" s="134"/>
      <c r="C93" s="132"/>
      <c r="D93" s="132"/>
      <c r="E93" s="136"/>
      <c r="F93" s="132"/>
      <c r="G93" s="132"/>
      <c r="H93" s="133"/>
    </row>
    <row r="94" spans="1:8" x14ac:dyDescent="0.2">
      <c r="A94" s="134"/>
      <c r="B94" s="134"/>
      <c r="C94" s="132"/>
      <c r="D94" s="132"/>
      <c r="E94" s="172" t="s">
        <v>86</v>
      </c>
      <c r="F94" s="132"/>
      <c r="G94" s="132"/>
      <c r="H94" s="133"/>
    </row>
    <row r="99" spans="1:8" ht="16.5" x14ac:dyDescent="0.3">
      <c r="A99" s="189" t="s">
        <v>140</v>
      </c>
      <c r="B99" s="190" t="s">
        <v>141</v>
      </c>
      <c r="C99" s="183"/>
      <c r="D99" s="183"/>
      <c r="E99" s="183"/>
      <c r="F99" s="183"/>
      <c r="G99" s="183"/>
      <c r="H99" s="183"/>
    </row>
    <row r="100" spans="1:8" ht="16.5" x14ac:dyDescent="0.3">
      <c r="A100" s="189" t="s">
        <v>142</v>
      </c>
      <c r="B100" s="190" t="s">
        <v>143</v>
      </c>
      <c r="C100" s="183"/>
      <c r="D100" s="183"/>
      <c r="E100" s="183"/>
      <c r="F100" s="183"/>
      <c r="G100" s="183"/>
      <c r="H100" s="183"/>
    </row>
    <row r="101" spans="1:8" ht="16.5" x14ac:dyDescent="0.3">
      <c r="A101" s="189" t="s">
        <v>144</v>
      </c>
      <c r="B101" s="190" t="s">
        <v>145</v>
      </c>
      <c r="C101" s="183"/>
      <c r="D101" s="183"/>
      <c r="E101" s="183"/>
      <c r="F101" s="183"/>
      <c r="G101" s="183"/>
      <c r="H101" s="183"/>
    </row>
    <row r="102" spans="1:8" ht="16.5" x14ac:dyDescent="0.3">
      <c r="A102" s="189" t="s">
        <v>146</v>
      </c>
      <c r="B102" s="190" t="s">
        <v>154</v>
      </c>
      <c r="C102" s="183"/>
      <c r="D102" s="183"/>
      <c r="E102" s="183"/>
      <c r="F102" s="183"/>
      <c r="G102" s="183"/>
      <c r="H102" s="183"/>
    </row>
    <row r="103" spans="1:8" ht="24" thickBot="1" x14ac:dyDescent="0.4">
      <c r="A103" s="183"/>
      <c r="B103" s="183"/>
      <c r="C103" s="183"/>
      <c r="D103" s="183"/>
      <c r="E103" s="191" t="s">
        <v>35</v>
      </c>
      <c r="F103" s="183"/>
      <c r="G103" s="183"/>
      <c r="H103" s="183"/>
    </row>
    <row r="104" spans="1:8" ht="19.5" thickTop="1" x14ac:dyDescent="0.3">
      <c r="A104" s="193"/>
      <c r="B104" s="193"/>
      <c r="C104" s="199"/>
      <c r="D104" s="195" t="s">
        <v>16</v>
      </c>
      <c r="E104" s="195" t="s">
        <v>17</v>
      </c>
      <c r="F104" s="195" t="s">
        <v>18</v>
      </c>
      <c r="G104" s="195" t="s">
        <v>56</v>
      </c>
      <c r="H104" s="195" t="s">
        <v>19</v>
      </c>
    </row>
    <row r="105" spans="1:8" ht="13.5" thickBot="1" x14ac:dyDescent="0.25">
      <c r="A105" s="186"/>
      <c r="B105" s="186"/>
      <c r="C105" s="200"/>
      <c r="D105" s="206" t="s">
        <v>52</v>
      </c>
      <c r="E105" s="206" t="s">
        <v>53</v>
      </c>
      <c r="F105" s="206" t="s">
        <v>54</v>
      </c>
      <c r="G105" s="206" t="s">
        <v>57</v>
      </c>
      <c r="H105" s="206" t="s">
        <v>58</v>
      </c>
    </row>
    <row r="106" spans="1:8" x14ac:dyDescent="0.2">
      <c r="A106" s="194" t="s">
        <v>55</v>
      </c>
      <c r="B106" s="194"/>
      <c r="C106" s="202"/>
      <c r="D106" s="207">
        <v>103534.18606000001</v>
      </c>
      <c r="E106" s="207">
        <v>33555.390910000002</v>
      </c>
      <c r="F106" s="207">
        <v>91902.924299999999</v>
      </c>
      <c r="G106" s="207">
        <v>13578.32</v>
      </c>
      <c r="H106" s="207">
        <v>242570.82127000001</v>
      </c>
    </row>
    <row r="107" spans="1:8" x14ac:dyDescent="0.2">
      <c r="A107" s="192" t="s">
        <v>59</v>
      </c>
      <c r="B107" s="192"/>
      <c r="C107" s="203"/>
      <c r="D107" s="208"/>
      <c r="E107" s="208"/>
      <c r="F107" s="183"/>
      <c r="G107" s="208"/>
      <c r="H107" s="208"/>
    </row>
    <row r="108" spans="1:8" x14ac:dyDescent="0.2">
      <c r="A108" s="192" t="s">
        <v>60</v>
      </c>
      <c r="B108" s="192"/>
      <c r="C108" s="203"/>
      <c r="D108" s="208"/>
      <c r="E108" s="208"/>
      <c r="F108" s="208">
        <v>80465.676300000006</v>
      </c>
      <c r="G108" s="208"/>
      <c r="H108" s="208"/>
    </row>
    <row r="109" spans="1:8" x14ac:dyDescent="0.2">
      <c r="A109" s="192" t="s">
        <v>61</v>
      </c>
      <c r="B109" s="192"/>
      <c r="C109" s="203"/>
      <c r="D109" s="208"/>
      <c r="E109" s="208"/>
      <c r="F109" s="208">
        <v>11437.248</v>
      </c>
      <c r="G109" s="208"/>
      <c r="H109" s="208"/>
    </row>
    <row r="110" spans="1:8" ht="13.5" thickBot="1" x14ac:dyDescent="0.25">
      <c r="A110" s="192" t="s">
        <v>62</v>
      </c>
      <c r="B110" s="192"/>
      <c r="C110" s="203"/>
      <c r="D110" s="208"/>
      <c r="E110" s="208"/>
      <c r="F110" s="208">
        <v>0</v>
      </c>
      <c r="G110" s="208"/>
      <c r="H110" s="208"/>
    </row>
    <row r="111" spans="1:8" x14ac:dyDescent="0.2">
      <c r="A111" s="194" t="s">
        <v>64</v>
      </c>
      <c r="B111" s="194"/>
      <c r="C111" s="202"/>
      <c r="D111" s="207"/>
      <c r="E111" s="207"/>
      <c r="F111" s="207"/>
      <c r="G111" s="207"/>
      <c r="H111" s="207"/>
    </row>
    <row r="112" spans="1:8" x14ac:dyDescent="0.2">
      <c r="A112" s="196" t="s">
        <v>148</v>
      </c>
      <c r="B112" s="196"/>
      <c r="C112" s="233">
        <v>0.20799999999999999</v>
      </c>
      <c r="D112" s="210"/>
      <c r="E112" s="184">
        <v>6979.5213092800004</v>
      </c>
      <c r="F112" s="210"/>
      <c r="G112" s="210"/>
      <c r="H112" s="184">
        <v>6979.5213092800004</v>
      </c>
    </row>
    <row r="113" spans="1:8" x14ac:dyDescent="0.2">
      <c r="A113" s="196" t="s">
        <v>149</v>
      </c>
      <c r="B113" s="196"/>
      <c r="C113" s="233">
        <v>5.1999999999999998E-2</v>
      </c>
      <c r="D113" s="210"/>
      <c r="E113" s="209">
        <v>1744.8803273200001</v>
      </c>
      <c r="F113" s="210"/>
      <c r="G113" s="210"/>
      <c r="H113" s="184">
        <v>1744.8803273200001</v>
      </c>
    </row>
    <row r="114" spans="1:8" x14ac:dyDescent="0.2">
      <c r="A114" s="196" t="s">
        <v>150</v>
      </c>
      <c r="B114" s="196"/>
      <c r="C114" s="233">
        <v>5.0000000000000001E-3</v>
      </c>
      <c r="D114" s="209"/>
      <c r="E114" s="209">
        <v>167.77695455</v>
      </c>
      <c r="F114" s="211"/>
      <c r="G114" s="211"/>
      <c r="H114" s="184">
        <v>167.77695455</v>
      </c>
    </row>
    <row r="115" spans="1:8" x14ac:dyDescent="0.2">
      <c r="A115" s="196" t="s">
        <v>151</v>
      </c>
      <c r="B115" s="196"/>
      <c r="C115" s="233">
        <v>1.9599999999999999E-3</v>
      </c>
      <c r="D115" s="212"/>
      <c r="E115" s="209">
        <v>65.768566183600001</v>
      </c>
      <c r="F115" s="212"/>
      <c r="G115" s="212"/>
      <c r="H115" s="184">
        <v>65.768566183600001</v>
      </c>
    </row>
    <row r="116" spans="1:8" x14ac:dyDescent="0.2">
      <c r="A116" s="196" t="s">
        <v>152</v>
      </c>
      <c r="B116" s="196"/>
      <c r="C116" s="233">
        <v>8.5000000000000006E-3</v>
      </c>
      <c r="D116" s="209"/>
      <c r="E116" s="209">
        <v>285.22082273500001</v>
      </c>
      <c r="F116" s="209"/>
      <c r="G116" s="209"/>
      <c r="H116" s="184">
        <v>285.22082273500001</v>
      </c>
    </row>
    <row r="117" spans="1:8" ht="13.5" thickBot="1" x14ac:dyDescent="0.25">
      <c r="A117" s="196" t="s">
        <v>153</v>
      </c>
      <c r="B117" s="196"/>
      <c r="C117" s="233">
        <v>2.5000000000000001E-3</v>
      </c>
      <c r="D117" s="209"/>
      <c r="E117" s="209">
        <v>83.888477275</v>
      </c>
      <c r="F117" s="209"/>
      <c r="G117" s="209"/>
      <c r="H117" s="184">
        <v>83.888477275</v>
      </c>
    </row>
    <row r="118" spans="1:8" x14ac:dyDescent="0.2">
      <c r="A118" s="198"/>
      <c r="B118" s="198"/>
      <c r="C118" s="201"/>
      <c r="D118" s="205" t="s">
        <v>66</v>
      </c>
      <c r="E118" s="205" t="s">
        <v>67</v>
      </c>
      <c r="F118" s="205" t="s">
        <v>68</v>
      </c>
      <c r="G118" s="205" t="s">
        <v>69</v>
      </c>
      <c r="H118" s="205" t="s">
        <v>70</v>
      </c>
    </row>
    <row r="119" spans="1:8" ht="13.5" thickBot="1" x14ac:dyDescent="0.25">
      <c r="A119" s="197" t="s">
        <v>65</v>
      </c>
      <c r="B119" s="197"/>
      <c r="C119" s="204"/>
      <c r="D119" s="213">
        <v>103534.18606000001</v>
      </c>
      <c r="E119" s="213">
        <v>42882.4473673436</v>
      </c>
      <c r="F119" s="213">
        <v>91902.924299999999</v>
      </c>
      <c r="G119" s="213">
        <v>13578.32</v>
      </c>
      <c r="H119" s="213">
        <v>251897.87772734364</v>
      </c>
    </row>
    <row r="120" spans="1:8" ht="13.5" thickBot="1" x14ac:dyDescent="0.25">
      <c r="A120" s="217" t="s">
        <v>113</v>
      </c>
      <c r="B120" s="218" t="s">
        <v>71</v>
      </c>
      <c r="C120" s="234">
        <v>0.08</v>
      </c>
      <c r="D120" s="214" t="s">
        <v>76</v>
      </c>
      <c r="E120" s="215"/>
      <c r="F120" s="216"/>
      <c r="G120" s="216"/>
      <c r="H120" s="208">
        <v>20151.830218187493</v>
      </c>
    </row>
    <row r="121" spans="1:8" ht="13.5" thickBot="1" x14ac:dyDescent="0.25">
      <c r="A121" s="219" t="s">
        <v>117</v>
      </c>
      <c r="B121" s="220" t="s">
        <v>72</v>
      </c>
      <c r="C121" s="235">
        <v>0.05</v>
      </c>
      <c r="D121" s="221" t="s">
        <v>77</v>
      </c>
      <c r="E121" s="222"/>
      <c r="F121" s="223"/>
      <c r="G121" s="223"/>
      <c r="H121" s="224">
        <v>13602.485397276556</v>
      </c>
    </row>
    <row r="122" spans="1:8" ht="13.5" thickTop="1" x14ac:dyDescent="0.2">
      <c r="A122" s="226" t="s">
        <v>74</v>
      </c>
      <c r="B122" s="227" t="s">
        <v>73</v>
      </c>
      <c r="C122" s="228" t="s">
        <v>75</v>
      </c>
      <c r="D122" s="229"/>
      <c r="E122" s="230"/>
      <c r="F122" s="231"/>
      <c r="G122" s="231"/>
      <c r="H122" s="232">
        <v>285652.1933428077</v>
      </c>
    </row>
    <row r="123" spans="1:8" x14ac:dyDescent="0.2">
      <c r="A123" s="185"/>
      <c r="B123" s="185"/>
      <c r="C123" s="183"/>
      <c r="D123" s="183"/>
      <c r="E123" s="188"/>
      <c r="F123" s="183"/>
      <c r="G123" s="183"/>
      <c r="H123" s="184"/>
    </row>
    <row r="124" spans="1:8" x14ac:dyDescent="0.2">
      <c r="A124" s="185"/>
      <c r="B124" s="185"/>
      <c r="C124" s="183"/>
      <c r="D124" s="183"/>
      <c r="E124" s="187"/>
      <c r="F124" s="183"/>
      <c r="G124" s="183"/>
      <c r="H124" s="184"/>
    </row>
    <row r="125" spans="1:8" x14ac:dyDescent="0.2">
      <c r="A125" s="185"/>
      <c r="B125" s="185"/>
      <c r="C125" s="183"/>
      <c r="D125" s="183"/>
      <c r="E125" s="225" t="s">
        <v>86</v>
      </c>
      <c r="F125" s="183"/>
      <c r="G125" s="183"/>
      <c r="H125" s="184"/>
    </row>
    <row r="130" spans="1:8" ht="16.5" x14ac:dyDescent="0.3">
      <c r="A130" s="242" t="s">
        <v>140</v>
      </c>
      <c r="B130" s="243" t="s">
        <v>141</v>
      </c>
      <c r="C130" s="236"/>
      <c r="D130" s="236"/>
      <c r="E130" s="236"/>
      <c r="F130" s="236"/>
      <c r="G130" s="236"/>
      <c r="H130" s="236"/>
    </row>
    <row r="131" spans="1:8" ht="16.5" x14ac:dyDescent="0.3">
      <c r="A131" s="242" t="s">
        <v>142</v>
      </c>
      <c r="B131" s="243" t="s">
        <v>143</v>
      </c>
      <c r="C131" s="236"/>
      <c r="D131" s="236"/>
      <c r="E131" s="236"/>
      <c r="F131" s="236"/>
      <c r="G131" s="236"/>
      <c r="H131" s="236"/>
    </row>
    <row r="132" spans="1:8" ht="16.5" x14ac:dyDescent="0.3">
      <c r="A132" s="242" t="s">
        <v>144</v>
      </c>
      <c r="B132" s="243" t="s">
        <v>145</v>
      </c>
      <c r="C132" s="236"/>
      <c r="D132" s="236"/>
      <c r="E132" s="236"/>
      <c r="F132" s="236"/>
      <c r="G132" s="236"/>
      <c r="H132" s="236"/>
    </row>
    <row r="133" spans="1:8" ht="16.5" x14ac:dyDescent="0.3">
      <c r="A133" s="242" t="s">
        <v>146</v>
      </c>
      <c r="B133" s="243" t="s">
        <v>155</v>
      </c>
      <c r="C133" s="236"/>
      <c r="D133" s="236"/>
      <c r="E133" s="236"/>
      <c r="F133" s="236"/>
      <c r="G133" s="236"/>
      <c r="H133" s="236"/>
    </row>
    <row r="134" spans="1:8" ht="24" thickBot="1" x14ac:dyDescent="0.4">
      <c r="A134" s="236"/>
      <c r="B134" s="236"/>
      <c r="C134" s="236"/>
      <c r="D134" s="236"/>
      <c r="E134" s="244" t="s">
        <v>35</v>
      </c>
      <c r="F134" s="236"/>
      <c r="G134" s="236"/>
      <c r="H134" s="236"/>
    </row>
    <row r="135" spans="1:8" ht="19.5" thickTop="1" x14ac:dyDescent="0.3">
      <c r="A135" s="246"/>
      <c r="B135" s="246"/>
      <c r="C135" s="252"/>
      <c r="D135" s="248" t="s">
        <v>16</v>
      </c>
      <c r="E135" s="248" t="s">
        <v>17</v>
      </c>
      <c r="F135" s="248" t="s">
        <v>18</v>
      </c>
      <c r="G135" s="248" t="s">
        <v>56</v>
      </c>
      <c r="H135" s="248" t="s">
        <v>19</v>
      </c>
    </row>
    <row r="136" spans="1:8" ht="13.5" thickBot="1" x14ac:dyDescent="0.25">
      <c r="A136" s="239"/>
      <c r="B136" s="239"/>
      <c r="C136" s="253"/>
      <c r="D136" s="259" t="s">
        <v>52</v>
      </c>
      <c r="E136" s="259" t="s">
        <v>53</v>
      </c>
      <c r="F136" s="259" t="s">
        <v>54</v>
      </c>
      <c r="G136" s="259" t="s">
        <v>57</v>
      </c>
      <c r="H136" s="259" t="s">
        <v>58</v>
      </c>
    </row>
    <row r="137" spans="1:8" x14ac:dyDescent="0.2">
      <c r="A137" s="247" t="s">
        <v>55</v>
      </c>
      <c r="B137" s="247"/>
      <c r="C137" s="255"/>
      <c r="D137" s="260">
        <v>82889.399579999998</v>
      </c>
      <c r="E137" s="260">
        <v>23703.916130000001</v>
      </c>
      <c r="F137" s="260">
        <v>174655.35250000001</v>
      </c>
      <c r="G137" s="260">
        <v>10115</v>
      </c>
      <c r="H137" s="260">
        <v>291363.66821000003</v>
      </c>
    </row>
    <row r="138" spans="1:8" x14ac:dyDescent="0.2">
      <c r="A138" s="245" t="s">
        <v>59</v>
      </c>
      <c r="B138" s="245"/>
      <c r="C138" s="256"/>
      <c r="D138" s="261"/>
      <c r="E138" s="261"/>
      <c r="F138" s="236"/>
      <c r="G138" s="261"/>
      <c r="H138" s="261"/>
    </row>
    <row r="139" spans="1:8" x14ac:dyDescent="0.2">
      <c r="A139" s="245" t="s">
        <v>60</v>
      </c>
      <c r="B139" s="245"/>
      <c r="C139" s="256"/>
      <c r="D139" s="261"/>
      <c r="E139" s="261"/>
      <c r="F139" s="261">
        <v>99685.352499999994</v>
      </c>
      <c r="G139" s="261"/>
      <c r="H139" s="261"/>
    </row>
    <row r="140" spans="1:8" x14ac:dyDescent="0.2">
      <c r="A140" s="245" t="s">
        <v>61</v>
      </c>
      <c r="B140" s="245"/>
      <c r="C140" s="256"/>
      <c r="D140" s="261"/>
      <c r="E140" s="261"/>
      <c r="F140" s="261">
        <v>74970</v>
      </c>
      <c r="G140" s="261"/>
      <c r="H140" s="261"/>
    </row>
    <row r="141" spans="1:8" ht="13.5" thickBot="1" x14ac:dyDescent="0.25">
      <c r="A141" s="245" t="s">
        <v>62</v>
      </c>
      <c r="B141" s="245"/>
      <c r="C141" s="256"/>
      <c r="D141" s="261"/>
      <c r="E141" s="261"/>
      <c r="F141" s="261">
        <v>0</v>
      </c>
      <c r="G141" s="261"/>
      <c r="H141" s="261"/>
    </row>
    <row r="142" spans="1:8" x14ac:dyDescent="0.2">
      <c r="A142" s="247" t="s">
        <v>64</v>
      </c>
      <c r="B142" s="247"/>
      <c r="C142" s="255"/>
      <c r="D142" s="260"/>
      <c r="E142" s="260"/>
      <c r="F142" s="260"/>
      <c r="G142" s="260"/>
      <c r="H142" s="260"/>
    </row>
    <row r="143" spans="1:8" x14ac:dyDescent="0.2">
      <c r="A143" s="249" t="s">
        <v>148</v>
      </c>
      <c r="B143" s="249"/>
      <c r="C143" s="286">
        <v>0.20799999999999999</v>
      </c>
      <c r="D143" s="263"/>
      <c r="E143" s="237">
        <v>4930.4145550399999</v>
      </c>
      <c r="F143" s="263"/>
      <c r="G143" s="263"/>
      <c r="H143" s="237">
        <v>4930.4145550399999</v>
      </c>
    </row>
    <row r="144" spans="1:8" x14ac:dyDescent="0.2">
      <c r="A144" s="249" t="s">
        <v>149</v>
      </c>
      <c r="B144" s="249"/>
      <c r="C144" s="286">
        <v>5.1999999999999998E-2</v>
      </c>
      <c r="D144" s="263"/>
      <c r="E144" s="262">
        <v>1232.60363876</v>
      </c>
      <c r="F144" s="263"/>
      <c r="G144" s="263"/>
      <c r="H144" s="237">
        <v>1232.60363876</v>
      </c>
    </row>
    <row r="145" spans="1:8" x14ac:dyDescent="0.2">
      <c r="A145" s="249" t="s">
        <v>150</v>
      </c>
      <c r="B145" s="249"/>
      <c r="C145" s="286">
        <v>5.0000000000000001E-3</v>
      </c>
      <c r="D145" s="262"/>
      <c r="E145" s="262">
        <v>118.51958065000001</v>
      </c>
      <c r="F145" s="264"/>
      <c r="G145" s="264"/>
      <c r="H145" s="237">
        <v>118.51958065000001</v>
      </c>
    </row>
    <row r="146" spans="1:8" x14ac:dyDescent="0.2">
      <c r="A146" s="249" t="s">
        <v>151</v>
      </c>
      <c r="B146" s="249"/>
      <c r="C146" s="286">
        <v>1.9599999999999999E-3</v>
      </c>
      <c r="D146" s="265"/>
      <c r="E146" s="262">
        <v>46.459675614799998</v>
      </c>
      <c r="F146" s="265"/>
      <c r="G146" s="265"/>
      <c r="H146" s="237">
        <v>46.459675614799998</v>
      </c>
    </row>
    <row r="147" spans="1:8" x14ac:dyDescent="0.2">
      <c r="A147" s="249" t="s">
        <v>152</v>
      </c>
      <c r="B147" s="249"/>
      <c r="C147" s="286">
        <v>8.5000000000000006E-3</v>
      </c>
      <c r="D147" s="262"/>
      <c r="E147" s="262">
        <v>201.48328710500002</v>
      </c>
      <c r="F147" s="262"/>
      <c r="G147" s="262"/>
      <c r="H147" s="237">
        <v>201.48328710500002</v>
      </c>
    </row>
    <row r="148" spans="1:8" ht="13.5" thickBot="1" x14ac:dyDescent="0.25">
      <c r="A148" s="249" t="s">
        <v>153</v>
      </c>
      <c r="B148" s="249"/>
      <c r="C148" s="286">
        <v>2.5000000000000001E-3</v>
      </c>
      <c r="D148" s="262"/>
      <c r="E148" s="262">
        <v>59.259790325000004</v>
      </c>
      <c r="F148" s="262"/>
      <c r="G148" s="262"/>
      <c r="H148" s="237">
        <v>59.259790325000004</v>
      </c>
    </row>
    <row r="149" spans="1:8" x14ac:dyDescent="0.2">
      <c r="A149" s="251"/>
      <c r="B149" s="251"/>
      <c r="C149" s="254"/>
      <c r="D149" s="258" t="s">
        <v>66</v>
      </c>
      <c r="E149" s="258" t="s">
        <v>67</v>
      </c>
      <c r="F149" s="258" t="s">
        <v>68</v>
      </c>
      <c r="G149" s="258" t="s">
        <v>69</v>
      </c>
      <c r="H149" s="258" t="s">
        <v>70</v>
      </c>
    </row>
    <row r="150" spans="1:8" ht="13.5" thickBot="1" x14ac:dyDescent="0.25">
      <c r="A150" s="250" t="s">
        <v>65</v>
      </c>
      <c r="B150" s="250"/>
      <c r="C150" s="257"/>
      <c r="D150" s="266">
        <v>82889.399579999998</v>
      </c>
      <c r="E150" s="266">
        <v>30292.656657494797</v>
      </c>
      <c r="F150" s="266">
        <v>174655.35250000001</v>
      </c>
      <c r="G150" s="266">
        <v>10115</v>
      </c>
      <c r="H150" s="266">
        <v>297952.40873749478</v>
      </c>
    </row>
    <row r="151" spans="1:8" ht="13.5" thickBot="1" x14ac:dyDescent="0.25">
      <c r="A151" s="270" t="s">
        <v>113</v>
      </c>
      <c r="B151" s="271" t="s">
        <v>71</v>
      </c>
      <c r="C151" s="287">
        <v>0.08</v>
      </c>
      <c r="D151" s="267" t="s">
        <v>76</v>
      </c>
      <c r="E151" s="268"/>
      <c r="F151" s="269"/>
      <c r="G151" s="269"/>
      <c r="H151" s="261">
        <v>23836.192698999585</v>
      </c>
    </row>
    <row r="152" spans="1:8" ht="13.5" thickBot="1" x14ac:dyDescent="0.25">
      <c r="A152" s="272" t="s">
        <v>117</v>
      </c>
      <c r="B152" s="273" t="s">
        <v>72</v>
      </c>
      <c r="C152" s="288">
        <v>0.05</v>
      </c>
      <c r="D152" s="274" t="s">
        <v>77</v>
      </c>
      <c r="E152" s="275"/>
      <c r="F152" s="276"/>
      <c r="G152" s="276"/>
      <c r="H152" s="277">
        <v>16089.43007182472</v>
      </c>
    </row>
    <row r="153" spans="1:8" ht="13.5" thickTop="1" x14ac:dyDescent="0.2">
      <c r="A153" s="279" t="s">
        <v>74</v>
      </c>
      <c r="B153" s="280" t="s">
        <v>73</v>
      </c>
      <c r="C153" s="281" t="s">
        <v>75</v>
      </c>
      <c r="D153" s="282"/>
      <c r="E153" s="283"/>
      <c r="F153" s="284"/>
      <c r="G153" s="284"/>
      <c r="H153" s="285">
        <v>337878.03150831908</v>
      </c>
    </row>
    <row r="154" spans="1:8" x14ac:dyDescent="0.2">
      <c r="A154" s="238"/>
      <c r="B154" s="238"/>
      <c r="C154" s="236"/>
      <c r="D154" s="236"/>
      <c r="E154" s="241"/>
      <c r="F154" s="236"/>
      <c r="G154" s="236"/>
      <c r="H154" s="237"/>
    </row>
    <row r="155" spans="1:8" x14ac:dyDescent="0.2">
      <c r="A155" s="238"/>
      <c r="B155" s="238"/>
      <c r="C155" s="236"/>
      <c r="D155" s="236"/>
      <c r="E155" s="240"/>
      <c r="F155" s="236"/>
      <c r="G155" s="236"/>
      <c r="H155" s="237"/>
    </row>
    <row r="156" spans="1:8" x14ac:dyDescent="0.2">
      <c r="A156" s="238"/>
      <c r="B156" s="238"/>
      <c r="C156" s="236"/>
      <c r="D156" s="236"/>
      <c r="E156" s="278" t="s">
        <v>86</v>
      </c>
      <c r="F156" s="236"/>
      <c r="G156" s="236"/>
      <c r="H156" s="237"/>
    </row>
    <row r="157" spans="1:8" x14ac:dyDescent="0.2">
      <c r="A157" s="238"/>
      <c r="B157" s="238"/>
      <c r="C157" s="236"/>
      <c r="D157" s="236"/>
      <c r="E157" s="236"/>
      <c r="F157" s="236"/>
      <c r="G157" s="236"/>
      <c r="H157" s="237"/>
    </row>
  </sheetData>
  <autoFilter ref="A1:J68">
    <filterColumn colId="8">
      <filters>
        <filter val="Afisez"/>
      </filters>
    </filterColumn>
  </autoFilter>
  <phoneticPr fontId="0" type="noConversion"/>
  <pageMargins left="0.7" right="0.2" top="0.4" bottom="0.7" header="0.4" footer="0.4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 filterMode="1"/>
  <dimension ref="A1:J73"/>
  <sheetViews>
    <sheetView topLeftCell="A16" zoomScaleNormal="100" workbookViewId="0">
      <selection activeCell="J66" sqref="J66"/>
    </sheetView>
  </sheetViews>
  <sheetFormatPr defaultRowHeight="12.75" outlineLevelRow="1" outlineLevelCol="1" x14ac:dyDescent="0.2"/>
  <cols>
    <col min="1" max="1" width="25.140625" customWidth="1"/>
    <col min="2" max="2" width="5.28515625" customWidth="1"/>
    <col min="3" max="3" width="7.7109375" customWidth="1"/>
    <col min="4" max="8" width="16.42578125" customWidth="1"/>
    <col min="9" max="9" width="9.140625" hidden="1" customWidth="1" outlineLevel="1"/>
    <col min="10" max="10" width="9.140625" collapsed="1"/>
  </cols>
  <sheetData>
    <row r="1" spans="1:9" x14ac:dyDescent="0.2">
      <c r="A1" s="15" t="s">
        <v>28</v>
      </c>
      <c r="B1" s="15"/>
      <c r="C1" s="15" t="s">
        <v>29</v>
      </c>
      <c r="D1" s="15" t="s">
        <v>30</v>
      </c>
      <c r="E1" s="15" t="s">
        <v>31</v>
      </c>
      <c r="F1" s="15" t="s">
        <v>32</v>
      </c>
      <c r="G1" s="15"/>
      <c r="H1" s="15" t="s">
        <v>33</v>
      </c>
      <c r="I1" s="3" t="s">
        <v>38</v>
      </c>
    </row>
    <row r="2" spans="1:9" hidden="1" outlineLevel="1" x14ac:dyDescent="0.2">
      <c r="A2" s="15"/>
      <c r="B2" s="15"/>
      <c r="C2" s="15"/>
      <c r="D2" s="15"/>
      <c r="E2" s="15"/>
      <c r="F2" s="15"/>
      <c r="G2" s="15"/>
      <c r="H2" s="15"/>
      <c r="I2" s="3" t="str">
        <f>IF(Date!B39="D","Afisez","Nu afisez")</f>
        <v>Nu afisez</v>
      </c>
    </row>
    <row r="3" spans="1:9" hidden="1" outlineLevel="1" x14ac:dyDescent="0.2">
      <c r="A3" s="15"/>
      <c r="B3" s="15"/>
      <c r="C3" s="15"/>
      <c r="D3" s="15"/>
      <c r="E3" s="15"/>
      <c r="F3" s="15"/>
      <c r="G3" s="15"/>
      <c r="H3" s="15"/>
      <c r="I3" s="3" t="str">
        <f>IF(Date!B39="D","Afisez","Nu afisez")</f>
        <v>Nu afisez</v>
      </c>
    </row>
    <row r="4" spans="1:9" hidden="1" outlineLevel="1" x14ac:dyDescent="0.2">
      <c r="A4" s="15"/>
      <c r="B4" s="15"/>
      <c r="C4" s="15"/>
      <c r="D4" s="15"/>
      <c r="E4" s="15"/>
      <c r="F4" s="15"/>
      <c r="G4" s="15"/>
      <c r="H4" s="15"/>
      <c r="I4" s="3" t="str">
        <f>IF(Date!B39="D","Afisez","Nu afisez")</f>
        <v>Nu afisez</v>
      </c>
    </row>
    <row r="5" spans="1:9" hidden="1" outlineLevel="1" x14ac:dyDescent="0.2">
      <c r="A5" s="15"/>
      <c r="B5" s="15"/>
      <c r="C5" s="15"/>
      <c r="D5" s="15"/>
      <c r="E5" s="15"/>
      <c r="F5" s="15"/>
      <c r="G5" s="15"/>
      <c r="H5" s="15"/>
      <c r="I5" s="3" t="str">
        <f>IF(Date!B39="D","Afisez","Nu afisez")</f>
        <v>Nu afisez</v>
      </c>
    </row>
    <row r="6" spans="1:9" hidden="1" outlineLevel="1" x14ac:dyDescent="0.2">
      <c r="A6" s="15"/>
      <c r="B6" s="15"/>
      <c r="C6" s="15"/>
      <c r="D6" s="15"/>
      <c r="E6" s="15"/>
      <c r="F6" s="15"/>
      <c r="G6" s="15"/>
      <c r="H6" s="15"/>
      <c r="I6" s="3" t="str">
        <f>IF(Date!B39="D","Afisez","Nu afisez")</f>
        <v>Nu afisez</v>
      </c>
    </row>
    <row r="7" spans="1:9" hidden="1" outlineLevel="1" x14ac:dyDescent="0.2">
      <c r="A7" s="15"/>
      <c r="B7" s="15"/>
      <c r="C7" s="15"/>
      <c r="D7" s="15"/>
      <c r="E7" s="15"/>
      <c r="F7" s="15"/>
      <c r="G7" s="15"/>
      <c r="H7" s="15"/>
      <c r="I7" s="3" t="str">
        <f>IF(Date!B39="D","Afisez","Nu afisez")</f>
        <v>Nu afisez</v>
      </c>
    </row>
    <row r="8" spans="1:9" hidden="1" outlineLevel="1" x14ac:dyDescent="0.2">
      <c r="A8" s="15"/>
      <c r="B8" s="15"/>
      <c r="C8" s="15"/>
      <c r="D8" s="15"/>
      <c r="E8" s="15"/>
      <c r="F8" s="15"/>
      <c r="G8" s="15"/>
      <c r="H8" s="15"/>
      <c r="I8" s="3" t="str">
        <f>IF(Date!B39="D","Afisez","Nu afisez")</f>
        <v>Nu afisez</v>
      </c>
    </row>
    <row r="9" spans="1:9" ht="16.5" collapsed="1" x14ac:dyDescent="0.3">
      <c r="A9" s="17" t="str">
        <f>CONCATENATE(Date!C22,":")</f>
        <v>Executant:</v>
      </c>
      <c r="B9" s="18" t="str">
        <f>CONCATENATE(Date!D22,"-",Date!D23)</f>
        <v xml:space="preserve">TEST      -SC TEST SRL                                       </v>
      </c>
      <c r="I9" t="str">
        <f>IF(LEN(TRIM(Date!D22))=0,"Nu afisez","Afisez")</f>
        <v>Afisez</v>
      </c>
    </row>
    <row r="10" spans="1:9" ht="16.5" x14ac:dyDescent="0.3">
      <c r="A10" s="17" t="str">
        <f>CONCATENATE(Date!C24,":")</f>
        <v>Obiectiv:</v>
      </c>
      <c r="B10" s="18" t="str">
        <f>CONCATENATE(Date!D24,"-",Date!D25)</f>
        <v xml:space="preserve">128       -Canalizare Chilieni si Coseni                     </v>
      </c>
      <c r="I10" t="str">
        <f>IF(LEN(TRIM(Date!D24))=0,"Nu afisez","Afisez")</f>
        <v>Afisez</v>
      </c>
    </row>
    <row r="11" spans="1:9" ht="16.5" x14ac:dyDescent="0.3">
      <c r="A11" s="17" t="str">
        <f>CONCATENATE(Date!C26,":")</f>
        <v>Obiect:</v>
      </c>
      <c r="B11" s="18" t="str">
        <f>CONCATENATE(Date!D26,"-",Date!D27)</f>
        <v xml:space="preserve">02        -Canalizare Coseni                                 </v>
      </c>
      <c r="I11" t="str">
        <f>IF(LEN(TRIM(Date!D26))=0,"Nu afisez","Afisez")</f>
        <v>Afisez</v>
      </c>
    </row>
    <row r="12" spans="1:9" ht="16.5" x14ac:dyDescent="0.3">
      <c r="A12" s="17" t="str">
        <f>CONCATENATE(Date!C28,":")</f>
        <v>Categorie:</v>
      </c>
      <c r="B12" s="18" t="str">
        <f>CONCATENATE(Date!D28,"-",Date!D29)</f>
        <v xml:space="preserve">01        -PVC-G 250                                         </v>
      </c>
      <c r="I12" t="str">
        <f>IF(LEN(TRIM(Date!D28))=0,"Nu afisez","Afisez")</f>
        <v>Afisez</v>
      </c>
    </row>
    <row r="13" spans="1:9" ht="16.5" hidden="1" x14ac:dyDescent="0.3">
      <c r="A13" s="17" t="str">
        <f>CONCATENATE(Date!C30,":")</f>
        <v>:</v>
      </c>
      <c r="B13" s="18" t="str">
        <f>CONCATENATE(Date!D30,"-",Date!D31)</f>
        <v xml:space="preserve">          -                                                  </v>
      </c>
      <c r="I13" t="str">
        <f>IF(LEN(TRIM(Date!D30))=0,"Nu afisez","Afisez")</f>
        <v>Nu afisez</v>
      </c>
    </row>
    <row r="14" spans="1:9" ht="16.5" hidden="1" x14ac:dyDescent="0.3">
      <c r="A14" s="17" t="str">
        <f>CONCATENATE(Date!C32,":")</f>
        <v>:</v>
      </c>
      <c r="B14" s="18" t="str">
        <f>CONCATENATE(Date!D32,"-",Date!D33)</f>
        <v xml:space="preserve">          -                                                  </v>
      </c>
      <c r="I14" t="str">
        <f>IF(LEN(TRIM(Date!D32))=0,"Nu afisez","Afisez")</f>
        <v>Nu afisez</v>
      </c>
    </row>
    <row r="15" spans="1:9" ht="16.5" hidden="1" x14ac:dyDescent="0.3">
      <c r="A15" s="17" t="str">
        <f>CONCATENATE(Date!C34,":")</f>
        <v>:</v>
      </c>
      <c r="B15" s="18" t="str">
        <f>CONCATENATE(Date!D34,"-",Date!D35)</f>
        <v xml:space="preserve">          -                                                  </v>
      </c>
      <c r="I15" t="str">
        <f>IF(LEN(TRIM(Date!D34))=0,"Nu afisez","Afisez")</f>
        <v>Nu afisez</v>
      </c>
    </row>
    <row r="16" spans="1:9" ht="24" thickBot="1" x14ac:dyDescent="0.4">
      <c r="E16" s="19" t="s">
        <v>35</v>
      </c>
      <c r="I16" s="4" t="s">
        <v>34</v>
      </c>
    </row>
    <row r="17" spans="1:9" ht="19.5" thickTop="1" x14ac:dyDescent="0.3">
      <c r="A17" s="27"/>
      <c r="B17" s="27"/>
      <c r="C17" s="35"/>
      <c r="D17" s="31" t="s">
        <v>16</v>
      </c>
      <c r="E17" s="31" t="s">
        <v>17</v>
      </c>
      <c r="F17" s="31" t="s">
        <v>18</v>
      </c>
      <c r="G17" s="31" t="s">
        <v>56</v>
      </c>
      <c r="H17" s="31" t="s">
        <v>19</v>
      </c>
      <c r="I17" s="4" t="s">
        <v>34</v>
      </c>
    </row>
    <row r="18" spans="1:9" ht="13.5" thickBot="1" x14ac:dyDescent="0.25">
      <c r="A18" s="8"/>
      <c r="B18" s="8"/>
      <c r="C18" s="36"/>
      <c r="D18" s="43" t="s">
        <v>52</v>
      </c>
      <c r="E18" s="43" t="s">
        <v>53</v>
      </c>
      <c r="F18" s="43" t="s">
        <v>54</v>
      </c>
      <c r="G18" s="43" t="s">
        <v>57</v>
      </c>
      <c r="H18" s="43" t="s">
        <v>58</v>
      </c>
      <c r="I18" s="4" t="s">
        <v>34</v>
      </c>
    </row>
    <row r="19" spans="1:9" x14ac:dyDescent="0.2">
      <c r="A19" s="29" t="s">
        <v>55</v>
      </c>
      <c r="B19" s="29"/>
      <c r="C19" s="38"/>
      <c r="D19" s="44">
        <f>Date!D2*Date!B32</f>
        <v>189048.04470999999</v>
      </c>
      <c r="E19" s="44">
        <f>Date!D3*Date!B32</f>
        <v>34722.333160000002</v>
      </c>
      <c r="F19" s="44">
        <f>Date!D4*Date!B32</f>
        <v>237915.18799999999</v>
      </c>
      <c r="G19" s="44">
        <f>(Date!D5+Date!D6+Date!D7)*Date!B32</f>
        <v>19118.400000000001</v>
      </c>
      <c r="H19" s="44">
        <f>SUM(D19:G19)</f>
        <v>480803.96587000001</v>
      </c>
      <c r="I19" s="4" t="s">
        <v>34</v>
      </c>
    </row>
    <row r="20" spans="1:9" x14ac:dyDescent="0.2">
      <c r="A20" s="22" t="s">
        <v>59</v>
      </c>
      <c r="B20" s="22"/>
      <c r="C20" s="39"/>
      <c r="D20" s="45"/>
      <c r="E20" s="45"/>
      <c r="G20" s="45"/>
      <c r="H20" s="45"/>
      <c r="I20" s="4" t="s">
        <v>34</v>
      </c>
    </row>
    <row r="21" spans="1:9" x14ac:dyDescent="0.2">
      <c r="A21" s="22" t="s">
        <v>60</v>
      </c>
      <c r="B21" s="22"/>
      <c r="C21" s="39"/>
      <c r="D21" s="45"/>
      <c r="E21" s="45"/>
      <c r="F21" s="45">
        <f>Date!D20*Date!B32</f>
        <v>136696.86799999999</v>
      </c>
      <c r="G21" s="45"/>
      <c r="H21" s="45"/>
      <c r="I21" s="4" t="s">
        <v>34</v>
      </c>
    </row>
    <row r="22" spans="1:9" x14ac:dyDescent="0.2">
      <c r="A22" s="22" t="s">
        <v>61</v>
      </c>
      <c r="B22" s="22"/>
      <c r="C22" s="39"/>
      <c r="D22" s="45"/>
      <c r="E22" s="45"/>
      <c r="F22" s="45">
        <f>Date!D21*Date!B32</f>
        <v>101218.32</v>
      </c>
      <c r="G22" s="45"/>
      <c r="H22" s="45"/>
      <c r="I22" s="4" t="s">
        <v>34</v>
      </c>
    </row>
    <row r="23" spans="1:9" ht="13.5" thickBot="1" x14ac:dyDescent="0.25">
      <c r="A23" s="22" t="s">
        <v>62</v>
      </c>
      <c r="B23" s="22"/>
      <c r="C23" s="39"/>
      <c r="D23" s="45"/>
      <c r="E23" s="45"/>
      <c r="F23" s="45">
        <f>F19-F21-F22</f>
        <v>0</v>
      </c>
      <c r="G23" s="45"/>
      <c r="H23" s="45"/>
      <c r="I23" s="4" t="s">
        <v>34</v>
      </c>
    </row>
    <row r="24" spans="1:9" ht="13.5" hidden="1" thickBot="1" x14ac:dyDescent="0.25">
      <c r="A24" s="22" t="s">
        <v>80</v>
      </c>
      <c r="B24" s="22"/>
      <c r="C24" s="39"/>
      <c r="D24" s="45">
        <f>IF(Date!B36="A",-Date!D8*Date!B32,0)</f>
        <v>0</v>
      </c>
      <c r="E24" s="45"/>
      <c r="F24" s="45"/>
      <c r="G24" s="45"/>
      <c r="H24" s="45">
        <f>D24</f>
        <v>0</v>
      </c>
      <c r="I24" s="4" t="str">
        <f>IF(H24&lt;&gt;0,"Afisez","Nu afisez")</f>
        <v>Nu afisez</v>
      </c>
    </row>
    <row r="25" spans="1:9" ht="13.5" hidden="1" thickBot="1" x14ac:dyDescent="0.25">
      <c r="A25" s="22" t="s">
        <v>81</v>
      </c>
      <c r="B25" s="22"/>
      <c r="C25" s="84" t="str">
        <f>CONCATENATE(TEXT(Date!B24,REPLACE("#.####",2,1,Date!B38))," x")</f>
        <v>1. x</v>
      </c>
      <c r="D25" s="5">
        <f>IF(Date!B36="A",-Date!D9*Date!B32,0)</f>
        <v>0</v>
      </c>
      <c r="E25" s="45"/>
      <c r="F25" s="45"/>
      <c r="H25" s="45">
        <f>D25*Date!B24</f>
        <v>0</v>
      </c>
      <c r="I25" s="4" t="str">
        <f>IF(H25&lt;&gt;0,"Afisez","Nu afisez")</f>
        <v>Nu afisez</v>
      </c>
    </row>
    <row r="26" spans="1:9" ht="13.5" hidden="1" thickBot="1" x14ac:dyDescent="0.25">
      <c r="A26" s="22" t="s">
        <v>63</v>
      </c>
      <c r="B26" s="22"/>
      <c r="C26" s="39"/>
      <c r="D26" s="46">
        <f>Date!B5</f>
        <v>1</v>
      </c>
      <c r="E26" s="46">
        <f>Date!B10</f>
        <v>1</v>
      </c>
      <c r="F26" s="46">
        <f>Date!B11</f>
        <v>1</v>
      </c>
      <c r="G26" s="53">
        <f>IF(G19=0,1,G38/G19)</f>
        <v>1</v>
      </c>
      <c r="H26" s="45"/>
      <c r="I26" s="4" t="str">
        <f>IF(OR(D26&lt;&gt;1,E26&lt;&gt;1,F26&lt;&gt;1,G26&lt;&gt;1),"Afisez","Nu afisez")</f>
        <v>Nu afisez</v>
      </c>
    </row>
    <row r="27" spans="1:9" x14ac:dyDescent="0.2">
      <c r="A27" s="29" t="s">
        <v>64</v>
      </c>
      <c r="B27" s="29"/>
      <c r="C27" s="38"/>
      <c r="D27" s="44"/>
      <c r="E27" s="44"/>
      <c r="F27" s="44"/>
      <c r="G27" s="44"/>
      <c r="H27" s="44"/>
      <c r="I27" s="4" t="s">
        <v>34</v>
      </c>
    </row>
    <row r="28" spans="1:9" hidden="1" x14ac:dyDescent="0.2">
      <c r="A28" s="32" t="str">
        <f>CONCATENATE("  ",Date!A4)</f>
        <v xml:space="preserve">  Impozit manopera        </v>
      </c>
      <c r="B28" s="32"/>
      <c r="C28" s="108">
        <f>Date!B4</f>
        <v>0</v>
      </c>
      <c r="D28" s="48"/>
      <c r="E28" s="47">
        <f>E19*E26*C28</f>
        <v>0</v>
      </c>
      <c r="F28" s="48"/>
      <c r="G28" s="48"/>
      <c r="H28" s="49">
        <f t="shared" ref="H28:H35" si="0">E28</f>
        <v>0</v>
      </c>
      <c r="I28" s="4" t="str">
        <f>IF(H28&lt;&gt;0,"Afisez","Nu afisez")</f>
        <v>Nu afisez</v>
      </c>
    </row>
    <row r="29" spans="1:9" x14ac:dyDescent="0.2">
      <c r="A29" s="32" t="str">
        <f>CONCATENATE("  ",Date!A14)</f>
        <v xml:space="preserve">  C.A.S.                  </v>
      </c>
      <c r="B29" s="32"/>
      <c r="C29" s="109">
        <f>Date!B14</f>
        <v>0.20799999999999999</v>
      </c>
      <c r="D29" s="48"/>
      <c r="E29" s="47">
        <f>(E19*E26+E28)*C29</f>
        <v>7222.2452972800002</v>
      </c>
      <c r="F29" s="48"/>
      <c r="G29" s="48"/>
      <c r="H29" s="49">
        <f t="shared" si="0"/>
        <v>7222.2452972800002</v>
      </c>
      <c r="I29" s="4" t="str">
        <f>IF(OR(H29&lt;&gt;0,Date!F3="D"),"Afisez","Nu afisez")</f>
        <v>Afisez</v>
      </c>
    </row>
    <row r="30" spans="1:9" x14ac:dyDescent="0.2">
      <c r="A30" s="32" t="str">
        <f>CONCATENATE("  ",Date!A3)</f>
        <v xml:space="preserve">  C.A.S.S.                </v>
      </c>
      <c r="B30" s="32"/>
      <c r="C30" s="109">
        <f>Date!B3</f>
        <v>5.1999999999999998E-2</v>
      </c>
      <c r="D30" s="48"/>
      <c r="E30" s="47">
        <f>(E19*E26+E28)*C30</f>
        <v>1805.56132432</v>
      </c>
      <c r="F30" s="48"/>
      <c r="G30" s="48"/>
      <c r="H30" s="49">
        <f t="shared" si="0"/>
        <v>1805.56132432</v>
      </c>
      <c r="I30" s="4" t="str">
        <f>IF(OR(H30&lt;&gt;0,Date!F3="D"),"Afisez","Nu afisez")</f>
        <v>Afisez</v>
      </c>
    </row>
    <row r="31" spans="1:9" x14ac:dyDescent="0.2">
      <c r="A31" s="32" t="str">
        <f>CONCATENATE("  ",Date!A17)</f>
        <v xml:space="preserve">  Aj.somaj                </v>
      </c>
      <c r="B31" s="32"/>
      <c r="C31" s="109">
        <f>Date!B17</f>
        <v>5.0000000000000001E-3</v>
      </c>
      <c r="D31" s="47"/>
      <c r="E31" s="47">
        <f>(E19*E26+E28)*C31</f>
        <v>173.61166580000003</v>
      </c>
      <c r="F31" s="50"/>
      <c r="G31" s="50"/>
      <c r="H31" s="49">
        <f t="shared" si="0"/>
        <v>173.61166580000003</v>
      </c>
      <c r="I31" s="4" t="str">
        <f>IF(OR(H31&lt;&gt;0,Date!F3="D"),"Afisez","Nu afisez")</f>
        <v>Afisez</v>
      </c>
    </row>
    <row r="32" spans="1:9" x14ac:dyDescent="0.2">
      <c r="A32" s="32" t="str">
        <f>CONCATENATE("  ",Date!A2)</f>
        <v xml:space="preserve">  Acc. munca, boli profes.</v>
      </c>
      <c r="B32" s="32"/>
      <c r="C32" s="109">
        <f>Date!B2</f>
        <v>1.9599999999999999E-3</v>
      </c>
      <c r="D32" s="51"/>
      <c r="E32" s="47">
        <f>(E19*E26+E28)*C32</f>
        <v>68.055772993600002</v>
      </c>
      <c r="F32" s="51"/>
      <c r="G32" s="51"/>
      <c r="H32" s="49">
        <f t="shared" si="0"/>
        <v>68.055772993600002</v>
      </c>
      <c r="I32" s="4" t="str">
        <f>IF(OR(H32&lt;&gt;0,Date!F3="D"),"Afisez","Nu afisez")</f>
        <v>Afisez</v>
      </c>
    </row>
    <row r="33" spans="1:9" x14ac:dyDescent="0.2">
      <c r="A33" s="32" t="str">
        <f>CONCATENATE("  ",Date!A29)</f>
        <v xml:space="preserve">  C.C.I                   </v>
      </c>
      <c r="B33" s="32"/>
      <c r="C33" s="109">
        <f>Date!B29</f>
        <v>8.5000000000000006E-3</v>
      </c>
      <c r="D33" s="47"/>
      <c r="E33" s="47">
        <f>(E19*E26+E28)*C33</f>
        <v>295.13983186000002</v>
      </c>
      <c r="F33" s="47"/>
      <c r="G33" s="47"/>
      <c r="H33" s="49">
        <f t="shared" si="0"/>
        <v>295.13983186000002</v>
      </c>
      <c r="I33" s="4" t="str">
        <f>IF(OR(H33&lt;&gt;0,Date!F3="D"),"Afisez","Nu afisez")</f>
        <v>Afisez</v>
      </c>
    </row>
    <row r="34" spans="1:9" hidden="1" x14ac:dyDescent="0.2">
      <c r="A34" s="32" t="str">
        <f>CONCATENATE("  ",Date!A25)</f>
        <v xml:space="preserve">  Comision ITM            </v>
      </c>
      <c r="B34" s="32"/>
      <c r="C34" s="109">
        <f>Date!B25</f>
        <v>0</v>
      </c>
      <c r="D34" s="47"/>
      <c r="E34" s="47">
        <f>(E19*E26+E28)*C34</f>
        <v>0</v>
      </c>
      <c r="F34" s="47"/>
      <c r="G34" s="47"/>
      <c r="H34" s="5">
        <f t="shared" si="0"/>
        <v>0</v>
      </c>
      <c r="I34" s="4" t="str">
        <f>IF(OR(H34&lt;&gt;0,Date!F3="D"),"Afisez","Nu afisez")</f>
        <v>Nu afisez</v>
      </c>
    </row>
    <row r="35" spans="1:9" ht="13.5" thickBot="1" x14ac:dyDescent="0.25">
      <c r="A35" s="32" t="str">
        <f>CONCATENATE("  ",Date!A26)</f>
        <v xml:space="preserve">  Fond garantare          </v>
      </c>
      <c r="B35" s="32"/>
      <c r="C35" s="109">
        <f>Date!B26</f>
        <v>2.5000000000000001E-3</v>
      </c>
      <c r="D35" s="47"/>
      <c r="E35" s="47">
        <f>(E19*E26+E28)*C35</f>
        <v>86.805832900000013</v>
      </c>
      <c r="F35" s="47"/>
      <c r="G35" s="47"/>
      <c r="H35" s="5">
        <f t="shared" si="0"/>
        <v>86.805832900000013</v>
      </c>
      <c r="I35" s="4" t="str">
        <f>IF(OR(H35&lt;&gt;0,Date!F3="D"),"Afisez","Nu afisez")</f>
        <v>Afisez</v>
      </c>
    </row>
    <row r="36" spans="1:9" ht="12.75" hidden="1" customHeight="1" thickBot="1" x14ac:dyDescent="0.25">
      <c r="A36" s="32" t="str">
        <f>CONCATENATE("  ",Date!A6)</f>
        <v xml:space="preserve">  Chelt.tr.aprov.,depozit.</v>
      </c>
      <c r="B36" s="32"/>
      <c r="C36" s="110">
        <f>Date!B6</f>
        <v>0</v>
      </c>
      <c r="D36" s="47">
        <f>(D19+H24+H25)*D26*C36</f>
        <v>0</v>
      </c>
      <c r="E36" s="45"/>
      <c r="F36" s="45"/>
      <c r="G36" s="45"/>
      <c r="H36" s="45">
        <f>D36</f>
        <v>0</v>
      </c>
      <c r="I36" s="4" t="str">
        <f>IF(H36&lt;&gt;0,"Afisez","Nu afisez")</f>
        <v>Nu afisez</v>
      </c>
    </row>
    <row r="37" spans="1:9" x14ac:dyDescent="0.2">
      <c r="A37" s="34"/>
      <c r="B37" s="34"/>
      <c r="C37" s="37"/>
      <c r="D37" s="42" t="s">
        <v>66</v>
      </c>
      <c r="E37" s="42" t="s">
        <v>67</v>
      </c>
      <c r="F37" s="42" t="s">
        <v>68</v>
      </c>
      <c r="G37" s="42" t="s">
        <v>69</v>
      </c>
      <c r="H37" s="42" t="s">
        <v>70</v>
      </c>
      <c r="I37" s="4" t="s">
        <v>34</v>
      </c>
    </row>
    <row r="38" spans="1:9" ht="13.5" thickBot="1" x14ac:dyDescent="0.25">
      <c r="A38" s="33" t="s">
        <v>65</v>
      </c>
      <c r="B38" s="33"/>
      <c r="C38" s="40"/>
      <c r="D38" s="52">
        <f>(D19+H24+H25)*D26+D36</f>
        <v>189048.04470999999</v>
      </c>
      <c r="E38" s="52">
        <f>E19*E26+E28+E29+E30+E31+E32+E33+E34+E35</f>
        <v>44373.752885153597</v>
      </c>
      <c r="F38" s="52">
        <f>F19*F26</f>
        <v>237915.18799999999</v>
      </c>
      <c r="G38" s="52">
        <f>(Date!D5*Date!B7+Date!D6*Date!B8+Date!D7*Date!B9)*Date!B32</f>
        <v>19118.400000000001</v>
      </c>
      <c r="H38" s="52">
        <f>SUM(D38:G38)</f>
        <v>490455.38559515361</v>
      </c>
      <c r="I38" s="4" t="s">
        <v>34</v>
      </c>
    </row>
    <row r="39" spans="1:9" ht="13.5" thickBot="1" x14ac:dyDescent="0.25">
      <c r="A39" s="57" t="str">
        <f>Date!A15</f>
        <v xml:space="preserve">Cheltuieli indirecte    </v>
      </c>
      <c r="B39" s="58" t="s">
        <v>71</v>
      </c>
      <c r="C39" s="111">
        <f>Date!B15</f>
        <v>0.08</v>
      </c>
      <c r="D39" s="54" t="s">
        <v>76</v>
      </c>
      <c r="E39" s="55"/>
      <c r="F39" s="56"/>
      <c r="G39" s="56"/>
      <c r="H39" s="45">
        <f>H38*C39</f>
        <v>39236.43084761229</v>
      </c>
      <c r="I39" s="4" t="s">
        <v>34</v>
      </c>
    </row>
    <row r="40" spans="1:9" ht="13.5" hidden="1" thickBot="1" x14ac:dyDescent="0.25">
      <c r="A40" s="57" t="s">
        <v>82</v>
      </c>
      <c r="B40" s="58"/>
      <c r="C40" s="59"/>
      <c r="D40" s="54"/>
      <c r="E40" s="55"/>
      <c r="F40" s="56"/>
      <c r="G40" s="56"/>
      <c r="H40" s="45"/>
      <c r="I40" s="4" t="str">
        <f>IF(Date!$B$37="D","Afisez","Nu afisez")</f>
        <v>Nu afisez</v>
      </c>
    </row>
    <row r="41" spans="1:9" ht="13.5" hidden="1" thickBot="1" x14ac:dyDescent="0.25">
      <c r="A41" s="60" t="str">
        <f>CONCATENATE("a-",Date!A13)</f>
        <v xml:space="preserve">a-Salarii maistri         </v>
      </c>
      <c r="B41" s="58"/>
      <c r="C41" s="111">
        <f>Date!B13</f>
        <v>0</v>
      </c>
      <c r="D41" s="54" t="s">
        <v>85</v>
      </c>
      <c r="E41" s="55"/>
      <c r="F41" s="56"/>
      <c r="G41" s="56"/>
      <c r="H41" s="45">
        <f>(E38-(E29+E30+E31+E32+E33))*C41</f>
        <v>0</v>
      </c>
      <c r="I41" s="4" t="str">
        <f>IF(Date!$B$37="D","Afisez","Nu afisez")</f>
        <v>Nu afisez</v>
      </c>
    </row>
    <row r="42" spans="1:9" ht="13.5" hidden="1" thickBot="1" x14ac:dyDescent="0.25">
      <c r="A42" s="32" t="str">
        <f>CONCATENATE("b-",Date!A16)</f>
        <v xml:space="preserve">b-Manopera indirecta      </v>
      </c>
      <c r="B42" s="58"/>
      <c r="C42" s="111">
        <f>Date!B16</f>
        <v>0</v>
      </c>
      <c r="D42" s="54" t="s">
        <v>84</v>
      </c>
      <c r="E42" s="55"/>
      <c r="F42" s="56"/>
      <c r="G42" s="56"/>
      <c r="H42" s="45">
        <f>(H38-(E29+E30+E31+E32+E33))*C42</f>
        <v>0</v>
      </c>
      <c r="I42" s="4" t="str">
        <f>IF(Date!$B$37="D","Afisez","Nu afisez")</f>
        <v>Nu afisez</v>
      </c>
    </row>
    <row r="43" spans="1:9" ht="13.5" hidden="1" thickBot="1" x14ac:dyDescent="0.25">
      <c r="A43" s="32" t="str">
        <f>CONCATENATE("c-",Date!A14)</f>
        <v xml:space="preserve">c-C.A.S.                  </v>
      </c>
      <c r="B43" s="58"/>
      <c r="C43" s="112">
        <f>Date!B14</f>
        <v>0.20799999999999999</v>
      </c>
      <c r="D43" s="54" t="s">
        <v>83</v>
      </c>
      <c r="E43" s="55"/>
      <c r="F43" s="56"/>
      <c r="G43" s="56"/>
      <c r="H43" s="45">
        <f>(H41+H42)*C43</f>
        <v>0</v>
      </c>
      <c r="I43" s="4" t="str">
        <f>IF(Date!$B$37="D","Afisez","Nu afisez")</f>
        <v>Nu afisez</v>
      </c>
    </row>
    <row r="44" spans="1:9" ht="13.5" hidden="1" thickBot="1" x14ac:dyDescent="0.25">
      <c r="A44" s="32" t="str">
        <f>CONCATENATE("d-",Date!A3)</f>
        <v xml:space="preserve">d-C.A.S.S.                </v>
      </c>
      <c r="B44" s="58"/>
      <c r="C44" s="112">
        <f>Date!B3</f>
        <v>5.1999999999999998E-2</v>
      </c>
      <c r="D44" s="54" t="s">
        <v>83</v>
      </c>
      <c r="E44" s="55"/>
      <c r="F44" s="56"/>
      <c r="G44" s="56"/>
      <c r="H44" s="45">
        <f>(H41+H42)*C44</f>
        <v>0</v>
      </c>
      <c r="I44" s="4" t="str">
        <f>IF(Date!$B$37="D","Afisez","Nu afisez")</f>
        <v>Nu afisez</v>
      </c>
    </row>
    <row r="45" spans="1:9" ht="13.5" hidden="1" thickBot="1" x14ac:dyDescent="0.25">
      <c r="A45" s="32" t="str">
        <f>CONCATENATE("e-",Date!A17)</f>
        <v xml:space="preserve">e-Aj.somaj                </v>
      </c>
      <c r="B45" s="58"/>
      <c r="C45" s="112">
        <f>Date!B17</f>
        <v>5.0000000000000001E-3</v>
      </c>
      <c r="D45" s="54" t="s">
        <v>83</v>
      </c>
      <c r="E45" s="55"/>
      <c r="F45" s="56"/>
      <c r="G45" s="56"/>
      <c r="H45" s="45">
        <f>(H41+H42)*C45</f>
        <v>0</v>
      </c>
      <c r="I45" s="4" t="str">
        <f>IF(Date!$B$37="D","Afisez","Nu afisez")</f>
        <v>Nu afisez</v>
      </c>
    </row>
    <row r="46" spans="1:9" ht="13.5" hidden="1" thickBot="1" x14ac:dyDescent="0.25">
      <c r="A46" s="32" t="str">
        <f>CONCATENATE("f-",Date!A2)</f>
        <v>f-Acc. munca, boli profes.</v>
      </c>
      <c r="B46" s="58"/>
      <c r="C46" s="112">
        <f>Date!B2</f>
        <v>1.9599999999999999E-3</v>
      </c>
      <c r="D46" s="54" t="s">
        <v>83</v>
      </c>
      <c r="E46" s="55"/>
      <c r="F46" s="56"/>
      <c r="G46" s="56"/>
      <c r="H46" s="45">
        <f>(H41+H42)*C46</f>
        <v>0</v>
      </c>
      <c r="I46" s="4" t="str">
        <f>IF(Date!$B$37="D","Afisez","Nu afisez")</f>
        <v>Nu afisez</v>
      </c>
    </row>
    <row r="47" spans="1:9" ht="13.5" hidden="1" thickBot="1" x14ac:dyDescent="0.25">
      <c r="A47" s="32" t="str">
        <f>CONCATENATE("g-",Date!A29)</f>
        <v xml:space="preserve">g-C.C.I                   </v>
      </c>
      <c r="B47" s="58"/>
      <c r="C47" s="112">
        <f>Date!B29</f>
        <v>8.5000000000000006E-3</v>
      </c>
      <c r="D47" s="54" t="s">
        <v>83</v>
      </c>
      <c r="E47" s="55"/>
      <c r="F47" s="56"/>
      <c r="G47" s="56"/>
      <c r="H47" s="45">
        <f>(H41+H42)*C47</f>
        <v>0</v>
      </c>
      <c r="I47" s="4" t="str">
        <f>IF(Date!$B$37="D","Afisez","Nu afisez")</f>
        <v>Nu afisez</v>
      </c>
    </row>
    <row r="48" spans="1:9" ht="13.5" hidden="1" thickBot="1" x14ac:dyDescent="0.25">
      <c r="A48" s="32" t="str">
        <f>CONCATENATE("h-",Date!A25)</f>
        <v xml:space="preserve">h-Comision ITM            </v>
      </c>
      <c r="B48" s="58"/>
      <c r="C48" s="112">
        <f>Date!B25</f>
        <v>0</v>
      </c>
      <c r="D48" s="54" t="s">
        <v>83</v>
      </c>
      <c r="E48" s="55"/>
      <c r="F48" s="56"/>
      <c r="G48" s="56"/>
      <c r="H48" s="45">
        <f>(H41+H42)*C48</f>
        <v>0</v>
      </c>
      <c r="I48" s="4" t="str">
        <f>IF(Date!$B$37="D","Afisez","Nu afisez")</f>
        <v>Nu afisez</v>
      </c>
    </row>
    <row r="49" spans="1:9" ht="13.5" hidden="1" thickBot="1" x14ac:dyDescent="0.25">
      <c r="A49" s="32" t="str">
        <f>CONCATENATE("i-",Date!A26)</f>
        <v xml:space="preserve">i-Fond garantare          </v>
      </c>
      <c r="B49" s="58"/>
      <c r="C49" s="112">
        <f>Date!B26</f>
        <v>2.5000000000000001E-3</v>
      </c>
      <c r="D49" s="54" t="s">
        <v>83</v>
      </c>
      <c r="E49" s="55"/>
      <c r="F49" s="56"/>
      <c r="G49" s="56"/>
      <c r="H49" s="45">
        <f>(H41+H42)*C49</f>
        <v>0</v>
      </c>
      <c r="I49" s="4" t="str">
        <f>IF(Date!$B$37="D","Afisez","Nu afisez")</f>
        <v>Nu afisez</v>
      </c>
    </row>
    <row r="50" spans="1:9" ht="13.5" hidden="1" thickBot="1" x14ac:dyDescent="0.25">
      <c r="A50" s="60" t="s">
        <v>98</v>
      </c>
      <c r="C50" s="54" t="s">
        <v>99</v>
      </c>
      <c r="D50" s="61"/>
      <c r="E50" s="55"/>
      <c r="F50" s="56"/>
      <c r="G50" s="56"/>
      <c r="H50" s="45">
        <f>H39-(H41+H42+H43+H44+H45+H46+H47+H48+H49)</f>
        <v>39236.43084761229</v>
      </c>
      <c r="I50" s="4" t="str">
        <f>IF(Date!$B$37="D","Afisez","Nu afisez")</f>
        <v>Nu afisez</v>
      </c>
    </row>
    <row r="51" spans="1:9" ht="13.5" thickBot="1" x14ac:dyDescent="0.25">
      <c r="A51" s="77" t="str">
        <f>Date!A19</f>
        <v xml:space="preserve">Profit                  </v>
      </c>
      <c r="B51" s="78" t="s">
        <v>72</v>
      </c>
      <c r="C51" s="114">
        <f>Date!B19</f>
        <v>0.05</v>
      </c>
      <c r="D51" s="79" t="s">
        <v>77</v>
      </c>
      <c r="E51" s="80"/>
      <c r="F51" s="81"/>
      <c r="G51" s="81"/>
      <c r="H51" s="82">
        <f>(H38+H39)*C51</f>
        <v>26484.590822138296</v>
      </c>
      <c r="I51" s="4" t="s">
        <v>34</v>
      </c>
    </row>
    <row r="52" spans="1:9" hidden="1" x14ac:dyDescent="0.2">
      <c r="A52" s="22" t="s">
        <v>80</v>
      </c>
      <c r="B52" s="83"/>
      <c r="C52" s="85" t="str">
        <f>CONCATENATE(TEXT(Date!B5,REPLACE("#.####",2,1,Date!B38))," x")</f>
        <v>1. x</v>
      </c>
      <c r="D52" s="45">
        <f>IF(Date!B36="G",-Date!D8*Date!B32,0)</f>
        <v>0</v>
      </c>
      <c r="E52" s="45"/>
      <c r="F52" s="45"/>
      <c r="G52" s="45"/>
      <c r="H52" s="45">
        <f>D52*Date!B5</f>
        <v>0</v>
      </c>
      <c r="I52" s="4" t="str">
        <f>IF(H52&lt;&gt;0,"Afisez","Nu afisez")</f>
        <v>Nu afisez</v>
      </c>
    </row>
    <row r="53" spans="1:9" hidden="1" x14ac:dyDescent="0.2">
      <c r="A53" s="22" t="s">
        <v>81</v>
      </c>
      <c r="B53" s="22"/>
      <c r="C53" s="6" t="str">
        <f>CONCATENATE(TEXT(Date!B24,REPLACE("#.####",2,1,Date!B38))," x ",TEXT(Date!B5,REPLACE("#.####",2,1,Date!B38))," x")</f>
        <v>1. x 1. x</v>
      </c>
      <c r="D53" s="5">
        <f>IF(Date!B36="G",-Date!D9*Date!B32,0)</f>
        <v>0</v>
      </c>
      <c r="E53" s="45"/>
      <c r="F53" s="45"/>
      <c r="H53" s="45">
        <f>D53*Date!B24*Date!B5</f>
        <v>0</v>
      </c>
      <c r="I53" s="4" t="str">
        <f>IF(H53&lt;&gt;0,"Afisez","Nu afisez")</f>
        <v>Nu afisez</v>
      </c>
    </row>
    <row r="54" spans="1:9" ht="13.5" thickBot="1" x14ac:dyDescent="0.25">
      <c r="A54" s="89" t="s">
        <v>87</v>
      </c>
      <c r="B54" s="90" t="s">
        <v>73</v>
      </c>
      <c r="C54" s="91" t="s">
        <v>75</v>
      </c>
      <c r="D54" s="92"/>
      <c r="E54" s="93"/>
      <c r="F54" s="94"/>
      <c r="G54" s="94"/>
      <c r="H54" s="52">
        <f>H38+H39+H51+H52+H53</f>
        <v>556176.40726490412</v>
      </c>
      <c r="I54" s="4" t="s">
        <v>34</v>
      </c>
    </row>
    <row r="55" spans="1:9" x14ac:dyDescent="0.2">
      <c r="A55" s="86" t="s">
        <v>88</v>
      </c>
      <c r="B55" s="87" t="s">
        <v>97</v>
      </c>
      <c r="C55" s="54" t="str">
        <f>CONCATENATE(TEXT(Date!D38,REPLACE("#.##########",2,1,Date!B38))," x Vo")</f>
        <v>1. x Vo</v>
      </c>
      <c r="D55" s="88"/>
      <c r="E55" s="55"/>
      <c r="F55" s="56"/>
      <c r="G55" s="56"/>
      <c r="H55" s="45">
        <f>H54*Date!D38</f>
        <v>556176.40726490412</v>
      </c>
      <c r="I55" s="4" t="str">
        <f>IF(OR(Date!D38&lt;&gt;1,Date!B34=1),"Afisez","Nu afisez")</f>
        <v>Afisez</v>
      </c>
    </row>
    <row r="56" spans="1:9" ht="13.5" thickBot="1" x14ac:dyDescent="0.25">
      <c r="A56" s="102" t="str">
        <f>Date!A23</f>
        <v xml:space="preserve">Organizare de santier   </v>
      </c>
      <c r="B56" s="90" t="s">
        <v>91</v>
      </c>
      <c r="C56" s="113">
        <f>Date!B23</f>
        <v>0</v>
      </c>
      <c r="D56" s="91" t="s">
        <v>93</v>
      </c>
      <c r="E56" s="93"/>
      <c r="F56" s="94"/>
      <c r="G56" s="94"/>
      <c r="H56" s="52">
        <f>H55*C56</f>
        <v>0</v>
      </c>
      <c r="I56" s="4" t="s">
        <v>34</v>
      </c>
    </row>
    <row r="57" spans="1:9" x14ac:dyDescent="0.2">
      <c r="A57" s="86" t="s">
        <v>89</v>
      </c>
      <c r="B57" s="87"/>
      <c r="C57" s="54"/>
      <c r="D57" s="88"/>
      <c r="E57" s="55"/>
      <c r="F57" s="56"/>
      <c r="G57" s="56"/>
      <c r="H57" s="45">
        <f>H55+H56</f>
        <v>556176.40726490412</v>
      </c>
      <c r="I57" s="4" t="s">
        <v>34</v>
      </c>
    </row>
    <row r="58" spans="1:9" ht="13.5" thickBot="1" x14ac:dyDescent="0.25">
      <c r="A58" s="95" t="str">
        <f>Date!A20</f>
        <v xml:space="preserve">T.V.A.                  </v>
      </c>
      <c r="B58" s="99" t="s">
        <v>92</v>
      </c>
      <c r="C58" s="112">
        <f>Date!B20</f>
        <v>0.24</v>
      </c>
      <c r="D58" s="100" t="s">
        <v>94</v>
      </c>
      <c r="E58" s="97"/>
      <c r="F58" s="96"/>
      <c r="G58" s="96"/>
      <c r="H58" s="98">
        <f>H57*C58</f>
        <v>133482.33774357699</v>
      </c>
      <c r="I58" s="4" t="s">
        <v>34</v>
      </c>
    </row>
    <row r="59" spans="1:9" ht="13.5" thickTop="1" x14ac:dyDescent="0.2">
      <c r="A59" s="86" t="s">
        <v>90</v>
      </c>
      <c r="B59" s="7"/>
      <c r="C59" s="101"/>
      <c r="E59" s="12"/>
      <c r="H59" s="5">
        <f>H57+H58</f>
        <v>689658.74500848108</v>
      </c>
      <c r="I59" s="4" t="s">
        <v>34</v>
      </c>
    </row>
    <row r="60" spans="1:9" x14ac:dyDescent="0.2">
      <c r="A60" s="86"/>
      <c r="B60" s="7"/>
      <c r="E60" s="12"/>
      <c r="H60" s="5"/>
      <c r="I60" s="4" t="s">
        <v>34</v>
      </c>
    </row>
    <row r="61" spans="1:9" x14ac:dyDescent="0.2">
      <c r="A61" s="86"/>
      <c r="B61" s="7"/>
      <c r="E61" s="12"/>
      <c r="H61" s="5"/>
      <c r="I61" s="4" t="s">
        <v>34</v>
      </c>
    </row>
    <row r="62" spans="1:9" x14ac:dyDescent="0.2">
      <c r="A62" s="7"/>
      <c r="B62" s="8" t="s">
        <v>37</v>
      </c>
      <c r="G62" s="13" t="s">
        <v>36</v>
      </c>
      <c r="H62" s="5"/>
      <c r="I62" s="4" t="s">
        <v>34</v>
      </c>
    </row>
    <row r="63" spans="1:9" x14ac:dyDescent="0.2">
      <c r="A63" s="7"/>
      <c r="B63" s="7"/>
      <c r="H63" s="5"/>
      <c r="I63" s="4" t="s">
        <v>34</v>
      </c>
    </row>
    <row r="64" spans="1:9" x14ac:dyDescent="0.2">
      <c r="A64" s="7"/>
      <c r="B64" s="7"/>
      <c r="E64" s="13"/>
      <c r="H64" s="5"/>
      <c r="I64" s="4" t="s">
        <v>34</v>
      </c>
    </row>
    <row r="65" spans="1:9" x14ac:dyDescent="0.2">
      <c r="A65" s="20"/>
      <c r="B65" s="20"/>
      <c r="C65" s="21"/>
      <c r="D65" s="21"/>
      <c r="E65" s="28"/>
      <c r="H65" s="5"/>
      <c r="I65" s="4" t="s">
        <v>34</v>
      </c>
    </row>
    <row r="66" spans="1:9" x14ac:dyDescent="0.2">
      <c r="E66" s="12"/>
      <c r="H66" s="5"/>
      <c r="I66" s="4" t="s">
        <v>34</v>
      </c>
    </row>
    <row r="67" spans="1:9" hidden="1" x14ac:dyDescent="0.2">
      <c r="A67" s="8"/>
      <c r="B67" s="8"/>
      <c r="E67" s="5"/>
      <c r="F67" s="5"/>
      <c r="G67" s="5"/>
      <c r="H67" s="5"/>
      <c r="I67" s="4"/>
    </row>
    <row r="68" spans="1:9" ht="13.5" hidden="1" x14ac:dyDescent="0.25">
      <c r="A68" s="118" t="s">
        <v>133</v>
      </c>
      <c r="B68" s="8"/>
      <c r="C68" s="6"/>
      <c r="D68" s="5"/>
      <c r="E68" s="5"/>
      <c r="F68" s="5"/>
      <c r="G68" s="5"/>
      <c r="H68" s="5"/>
      <c r="I68" s="4"/>
    </row>
    <row r="69" spans="1:9" hidden="1" x14ac:dyDescent="0.2">
      <c r="A69" s="7"/>
      <c r="B69" s="7"/>
      <c r="E69" s="12"/>
      <c r="H69" s="5"/>
    </row>
    <row r="70" spans="1:9" ht="15" hidden="1" x14ac:dyDescent="0.25">
      <c r="A70" s="23"/>
      <c r="B70" s="23"/>
      <c r="C70" s="69"/>
      <c r="D70" s="69"/>
      <c r="E70" s="25"/>
      <c r="F70" s="69"/>
      <c r="G70" s="69"/>
      <c r="H70" s="26"/>
    </row>
    <row r="71" spans="1:9" hidden="1" x14ac:dyDescent="0.2"/>
    <row r="72" spans="1:9" hidden="1" x14ac:dyDescent="0.2"/>
    <row r="73" spans="1:9" hidden="1" x14ac:dyDescent="0.2">
      <c r="F73" s="7"/>
      <c r="G73" s="7"/>
    </row>
  </sheetData>
  <autoFilter ref="A1:J73">
    <filterColumn colId="8">
      <filters>
        <filter val="Afisez"/>
      </filters>
    </filterColumn>
  </autoFilter>
  <phoneticPr fontId="0" type="noConversion"/>
  <pageMargins left="0.7" right="0.2" top="0.4" bottom="0.7" header="0.4" footer="0.4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45"/>
  <sheetViews>
    <sheetView workbookViewId="0">
      <selection activeCell="F43" sqref="F43"/>
    </sheetView>
  </sheetViews>
  <sheetFormatPr defaultRowHeight="12.75" x14ac:dyDescent="0.2"/>
  <cols>
    <col min="1" max="1" width="40.7109375" customWidth="1"/>
    <col min="2" max="2" width="15.7109375" customWidth="1"/>
    <col min="3" max="3" width="35.7109375" customWidth="1"/>
    <col min="4" max="4" width="15.7109375" customWidth="1"/>
  </cols>
  <sheetData>
    <row r="1" spans="1:6" ht="25.5" x14ac:dyDescent="0.35">
      <c r="A1" s="1" t="s">
        <v>0</v>
      </c>
      <c r="B1" s="2" t="s">
        <v>2</v>
      </c>
      <c r="C1" s="1" t="s">
        <v>0</v>
      </c>
      <c r="D1" s="2" t="s">
        <v>2</v>
      </c>
    </row>
    <row r="2" spans="1:6" s="4" customFormat="1" x14ac:dyDescent="0.2">
      <c r="A2" s="8" t="s">
        <v>47</v>
      </c>
      <c r="B2" s="107">
        <v>1.9599999999999999E-3</v>
      </c>
      <c r="C2" s="3" t="s">
        <v>1</v>
      </c>
      <c r="D2" s="5">
        <v>189048.04470999999</v>
      </c>
      <c r="E2" s="4" t="s">
        <v>46</v>
      </c>
      <c r="F2" s="4">
        <v>54</v>
      </c>
    </row>
    <row r="3" spans="1:6" s="4" customFormat="1" x14ac:dyDescent="0.2">
      <c r="A3" s="8" t="s">
        <v>102</v>
      </c>
      <c r="B3" s="107">
        <v>5.1999999999999998E-2</v>
      </c>
      <c r="C3" s="3" t="s">
        <v>3</v>
      </c>
      <c r="D3" s="5">
        <v>34722.333160000002</v>
      </c>
      <c r="E3" s="4" t="s">
        <v>101</v>
      </c>
      <c r="F3" s="117" t="s">
        <v>24</v>
      </c>
    </row>
    <row r="4" spans="1:6" s="4" customFormat="1" x14ac:dyDescent="0.2">
      <c r="A4" s="8" t="s">
        <v>103</v>
      </c>
      <c r="B4" s="107">
        <v>0</v>
      </c>
      <c r="C4" s="3" t="s">
        <v>4</v>
      </c>
      <c r="D4" s="5">
        <v>237915.18799999999</v>
      </c>
    </row>
    <row r="5" spans="1:6" s="4" customFormat="1" x14ac:dyDescent="0.2">
      <c r="A5" s="8" t="s">
        <v>104</v>
      </c>
      <c r="B5" s="107">
        <v>1</v>
      </c>
      <c r="C5" s="3" t="s">
        <v>5</v>
      </c>
      <c r="D5" s="5">
        <v>19118.400000000001</v>
      </c>
    </row>
    <row r="6" spans="1:6" s="4" customFormat="1" x14ac:dyDescent="0.2">
      <c r="A6" s="8" t="s">
        <v>48</v>
      </c>
      <c r="B6" s="107">
        <v>0</v>
      </c>
      <c r="C6" s="3" t="s">
        <v>6</v>
      </c>
      <c r="D6" s="5">
        <v>0</v>
      </c>
    </row>
    <row r="7" spans="1:6" s="4" customFormat="1" x14ac:dyDescent="0.2">
      <c r="A7" s="8" t="s">
        <v>105</v>
      </c>
      <c r="B7" s="107">
        <v>1</v>
      </c>
      <c r="C7" s="8" t="s">
        <v>41</v>
      </c>
      <c r="D7" s="5">
        <v>0</v>
      </c>
    </row>
    <row r="8" spans="1:6" s="4" customFormat="1" x14ac:dyDescent="0.2">
      <c r="A8" s="8" t="s">
        <v>106</v>
      </c>
      <c r="B8" s="107">
        <v>1</v>
      </c>
      <c r="C8" s="3" t="s">
        <v>7</v>
      </c>
      <c r="D8" s="5">
        <v>0</v>
      </c>
    </row>
    <row r="9" spans="1:6" s="4" customFormat="1" x14ac:dyDescent="0.2">
      <c r="A9" s="8" t="s">
        <v>107</v>
      </c>
      <c r="B9" s="107">
        <v>0</v>
      </c>
      <c r="C9" s="3" t="s">
        <v>8</v>
      </c>
      <c r="D9" s="5">
        <v>0</v>
      </c>
    </row>
    <row r="10" spans="1:6" s="4" customFormat="1" x14ac:dyDescent="0.2">
      <c r="A10" s="8" t="s">
        <v>108</v>
      </c>
      <c r="B10" s="107">
        <v>1</v>
      </c>
      <c r="C10" s="3" t="s">
        <v>9</v>
      </c>
      <c r="D10" s="5">
        <v>189048.04470999999</v>
      </c>
    </row>
    <row r="11" spans="1:6" s="4" customFormat="1" x14ac:dyDescent="0.2">
      <c r="A11" s="8" t="s">
        <v>109</v>
      </c>
      <c r="B11" s="107">
        <v>1</v>
      </c>
      <c r="C11" s="3" t="s">
        <v>10</v>
      </c>
      <c r="D11" s="5">
        <v>34722.333160000002</v>
      </c>
    </row>
    <row r="12" spans="1:6" s="4" customFormat="1" x14ac:dyDescent="0.2">
      <c r="A12" s="7" t="s">
        <v>110</v>
      </c>
      <c r="B12" s="107">
        <v>0</v>
      </c>
      <c r="C12" s="3" t="s">
        <v>11</v>
      </c>
      <c r="D12" s="5">
        <v>237915.18799999999</v>
      </c>
    </row>
    <row r="13" spans="1:6" s="4" customFormat="1" x14ac:dyDescent="0.2">
      <c r="A13" s="8" t="s">
        <v>111</v>
      </c>
      <c r="B13" s="107">
        <v>0</v>
      </c>
      <c r="C13" s="3" t="s">
        <v>12</v>
      </c>
      <c r="D13" s="5">
        <v>19118.400000000001</v>
      </c>
    </row>
    <row r="14" spans="1:6" s="4" customFormat="1" x14ac:dyDescent="0.2">
      <c r="A14" s="7" t="s">
        <v>112</v>
      </c>
      <c r="B14" s="107">
        <v>0.20799999999999999</v>
      </c>
      <c r="C14" s="3" t="s">
        <v>13</v>
      </c>
      <c r="D14" s="5">
        <v>0</v>
      </c>
    </row>
    <row r="15" spans="1:6" s="4" customFormat="1" x14ac:dyDescent="0.2">
      <c r="A15" s="7" t="s">
        <v>113</v>
      </c>
      <c r="B15" s="107">
        <v>0.08</v>
      </c>
      <c r="C15" s="8" t="s">
        <v>40</v>
      </c>
      <c r="D15" s="5">
        <v>0</v>
      </c>
    </row>
    <row r="16" spans="1:6" x14ac:dyDescent="0.2">
      <c r="A16" s="7" t="s">
        <v>114</v>
      </c>
      <c r="B16" s="107">
        <v>0</v>
      </c>
      <c r="C16" s="3" t="s">
        <v>14</v>
      </c>
      <c r="D16" s="5">
        <v>0</v>
      </c>
    </row>
    <row r="17" spans="1:4" x14ac:dyDescent="0.2">
      <c r="A17" s="7" t="s">
        <v>115</v>
      </c>
      <c r="B17" s="107">
        <v>5.0000000000000001E-3</v>
      </c>
      <c r="C17" s="3" t="s">
        <v>15</v>
      </c>
      <c r="D17" s="5">
        <v>0</v>
      </c>
    </row>
    <row r="18" spans="1:4" x14ac:dyDescent="0.2">
      <c r="A18" s="7" t="s">
        <v>116</v>
      </c>
      <c r="B18" s="107">
        <v>0</v>
      </c>
      <c r="C18" s="3" t="s">
        <v>21</v>
      </c>
      <c r="D18" s="10">
        <v>3651.5689219999999</v>
      </c>
    </row>
    <row r="19" spans="1:4" x14ac:dyDescent="0.2">
      <c r="A19" s="8" t="s">
        <v>117</v>
      </c>
      <c r="B19" s="107">
        <v>0.05</v>
      </c>
      <c r="C19" s="3" t="s">
        <v>20</v>
      </c>
      <c r="D19" s="11">
        <v>5788</v>
      </c>
    </row>
    <row r="20" spans="1:4" x14ac:dyDescent="0.2">
      <c r="A20" s="8" t="s">
        <v>118</v>
      </c>
      <c r="B20" s="107">
        <v>0.24</v>
      </c>
      <c r="C20" s="41" t="s">
        <v>78</v>
      </c>
      <c r="D20" s="5">
        <v>136696.86799999999</v>
      </c>
    </row>
    <row r="21" spans="1:4" x14ac:dyDescent="0.2">
      <c r="A21" s="7" t="s">
        <v>119</v>
      </c>
      <c r="B21" s="107">
        <v>0</v>
      </c>
      <c r="C21" s="41" t="s">
        <v>79</v>
      </c>
      <c r="D21" s="5">
        <v>101218.32</v>
      </c>
    </row>
    <row r="22" spans="1:4" x14ac:dyDescent="0.2">
      <c r="A22" s="7" t="s">
        <v>116</v>
      </c>
      <c r="B22" s="107">
        <v>0</v>
      </c>
      <c r="C22" s="3" t="s">
        <v>25</v>
      </c>
      <c r="D22" s="8" t="s">
        <v>126</v>
      </c>
    </row>
    <row r="23" spans="1:4" x14ac:dyDescent="0.2">
      <c r="A23" s="8" t="s">
        <v>120</v>
      </c>
      <c r="B23" s="107">
        <v>0</v>
      </c>
      <c r="C23" s="3" t="str">
        <f>CONCATENATE("Denumire ",C22)</f>
        <v>Denumire Executant</v>
      </c>
      <c r="D23" s="7" t="s">
        <v>127</v>
      </c>
    </row>
    <row r="24" spans="1:4" x14ac:dyDescent="0.2">
      <c r="A24" s="8" t="s">
        <v>49</v>
      </c>
      <c r="B24" s="107">
        <v>1</v>
      </c>
      <c r="C24" s="3" t="s">
        <v>128</v>
      </c>
      <c r="D24" s="8" t="s">
        <v>136</v>
      </c>
    </row>
    <row r="25" spans="1:4" x14ac:dyDescent="0.2">
      <c r="A25" s="8" t="s">
        <v>121</v>
      </c>
      <c r="B25" s="107">
        <v>0</v>
      </c>
      <c r="C25" s="3" t="str">
        <f>CONCATENATE("Denumire ",C24)</f>
        <v>Denumire Obiectiv</v>
      </c>
      <c r="D25" s="7" t="s">
        <v>137</v>
      </c>
    </row>
    <row r="26" spans="1:4" x14ac:dyDescent="0.2">
      <c r="A26" s="8" t="s">
        <v>122</v>
      </c>
      <c r="B26" s="107">
        <v>2.5000000000000001E-3</v>
      </c>
      <c r="C26" s="3" t="s">
        <v>26</v>
      </c>
      <c r="D26" s="8" t="s">
        <v>135</v>
      </c>
    </row>
    <row r="27" spans="1:4" x14ac:dyDescent="0.2">
      <c r="A27" s="8" t="s">
        <v>50</v>
      </c>
      <c r="B27" s="107">
        <v>0.2</v>
      </c>
      <c r="C27" s="3" t="str">
        <f>CONCATENATE("Denumire ",C26)</f>
        <v>Denumire Obiect</v>
      </c>
      <c r="D27" s="8" t="s">
        <v>138</v>
      </c>
    </row>
    <row r="28" spans="1:4" x14ac:dyDescent="0.2">
      <c r="A28" s="8" t="s">
        <v>51</v>
      </c>
      <c r="B28" s="107">
        <v>0.2</v>
      </c>
      <c r="C28" s="3" t="s">
        <v>27</v>
      </c>
      <c r="D28" s="8" t="s">
        <v>129</v>
      </c>
    </row>
    <row r="29" spans="1:4" x14ac:dyDescent="0.2">
      <c r="A29" s="8" t="s">
        <v>123</v>
      </c>
      <c r="B29" s="107">
        <v>8.5000000000000006E-3</v>
      </c>
      <c r="C29" s="3" t="str">
        <f>CONCATENATE("Denumire ",C28)</f>
        <v>Denumire Categorie</v>
      </c>
      <c r="D29" s="7" t="s">
        <v>139</v>
      </c>
    </row>
    <row r="30" spans="1:4" x14ac:dyDescent="0.2">
      <c r="A30" s="8" t="s">
        <v>124</v>
      </c>
      <c r="B30" s="107">
        <v>0</v>
      </c>
      <c r="C30" s="3"/>
      <c r="D30" s="8" t="s">
        <v>130</v>
      </c>
    </row>
    <row r="31" spans="1:4" x14ac:dyDescent="0.2">
      <c r="A31" s="7" t="s">
        <v>125</v>
      </c>
      <c r="B31" s="107">
        <v>0</v>
      </c>
      <c r="C31" s="3" t="str">
        <f>CONCATENATE("Denumire ",C30)</f>
        <v xml:space="preserve">Denumire </v>
      </c>
      <c r="D31" s="7" t="s">
        <v>131</v>
      </c>
    </row>
    <row r="32" spans="1:4" x14ac:dyDescent="0.2">
      <c r="A32" s="15" t="s">
        <v>45</v>
      </c>
      <c r="B32" s="30">
        <f>IF(B33=0,1,1/B33)*IF(B34=0,1,1/B34)</f>
        <v>1</v>
      </c>
      <c r="C32" s="3"/>
      <c r="D32" s="8" t="s">
        <v>130</v>
      </c>
    </row>
    <row r="33" spans="1:4" x14ac:dyDescent="0.2">
      <c r="A33" s="8" t="s">
        <v>44</v>
      </c>
      <c r="B33" s="5">
        <v>1</v>
      </c>
      <c r="C33" s="3" t="str">
        <f>CONCATENATE("Denumire ",C32)</f>
        <v xml:space="preserve">Denumire </v>
      </c>
      <c r="D33" s="7" t="s">
        <v>131</v>
      </c>
    </row>
    <row r="34" spans="1:4" x14ac:dyDescent="0.2">
      <c r="A34" s="7" t="s">
        <v>42</v>
      </c>
      <c r="B34" s="9">
        <v>1</v>
      </c>
      <c r="C34" s="3"/>
      <c r="D34" s="8" t="s">
        <v>130</v>
      </c>
    </row>
    <row r="35" spans="1:4" x14ac:dyDescent="0.2">
      <c r="A35" s="7" t="s">
        <v>43</v>
      </c>
      <c r="B35" s="13" t="s">
        <v>132</v>
      </c>
      <c r="C35" s="3" t="str">
        <f>CONCATENATE("Denumire ",C34)</f>
        <v xml:space="preserve">Denumire </v>
      </c>
      <c r="D35" s="7" t="s">
        <v>131</v>
      </c>
    </row>
    <row r="36" spans="1:4" x14ac:dyDescent="0.2">
      <c r="A36" s="3" t="s">
        <v>22</v>
      </c>
      <c r="B36" s="14" t="s">
        <v>39</v>
      </c>
    </row>
    <row r="37" spans="1:4" x14ac:dyDescent="0.2">
      <c r="A37" s="3" t="s">
        <v>23</v>
      </c>
      <c r="B37" s="16" t="s">
        <v>24</v>
      </c>
    </row>
    <row r="38" spans="1:4" x14ac:dyDescent="0.2">
      <c r="A38" s="41" t="s">
        <v>96</v>
      </c>
      <c r="B38" s="106" t="str">
        <f>LEFT(RIGHT(FIXED(B34,1),2),1)</f>
        <v>.</v>
      </c>
      <c r="C38" s="41" t="s">
        <v>95</v>
      </c>
      <c r="D38" s="32">
        <v>1</v>
      </c>
    </row>
    <row r="39" spans="1:4" x14ac:dyDescent="0.2">
      <c r="A39" s="3" t="s">
        <v>100</v>
      </c>
      <c r="B39" s="14" t="s">
        <v>24</v>
      </c>
    </row>
    <row r="41" spans="1:4" ht="13.5" x14ac:dyDescent="0.25">
      <c r="A41" s="119" t="s">
        <v>134</v>
      </c>
    </row>
    <row r="43" spans="1:4" ht="13.5" x14ac:dyDescent="0.25">
      <c r="A43" s="119" t="s">
        <v>134</v>
      </c>
    </row>
    <row r="45" spans="1:4" ht="13.5" x14ac:dyDescent="0.25">
      <c r="A45" s="119" t="s">
        <v>134</v>
      </c>
    </row>
  </sheetData>
  <phoneticPr fontId="0" type="noConversion"/>
  <dataValidations count="27">
    <dataValidation type="custom" showInputMessage="1" showErrorMessage="1" errorTitle="STAI" error="Nu e voie" sqref="C1 A1">
      <formula1>EXACT(A1,"Explicatii")</formula1>
    </dataValidation>
    <dataValidation type="custom" showInputMessage="1" showErrorMessage="1" errorTitle="STAI" error="Nu e voie" sqref="D1 B1">
      <formula1>EXACT(A2, "Valoare")</formula1>
    </dataValidation>
    <dataValidation type="custom" showInputMessage="1" showErrorMessage="1" errorTitle="STAI" error="Nu e voie" sqref="C2">
      <formula1>EXACT(C2, "Material pret oferta")</formula1>
    </dataValidation>
    <dataValidation type="custom" showInputMessage="1" showErrorMessage="1" errorTitle="STAI" error="Nu e voie" sqref="C5">
      <formula1>EXACT(C5, "Transport AUTO pret oferta")</formula1>
    </dataValidation>
    <dataValidation type="custom" showInputMessage="1" showErrorMessage="1" errorTitle="STAI" error="Nu e voie" sqref="C4">
      <formula1>EXACT(C4, "Utilaj pret oferta")</formula1>
    </dataValidation>
    <dataValidation type="custom" showInputMessage="1" showErrorMessage="1" errorTitle="STAI" error="Nu e voie" sqref="C3">
      <formula1>EXACT(C3, "Manopera pret oferta")</formula1>
    </dataValidation>
    <dataValidation type="custom" showInputMessage="1" showErrorMessage="1" errorTitle="STAI" error="Nu e voie" sqref="C6">
      <formula1>EXACT(C6, "Transport CF pret oferta")</formula1>
    </dataValidation>
    <dataValidation type="custom" showInputMessage="1" showErrorMessage="1" errorTitle="STAI" error="Nu e voie" sqref="C8">
      <formula1>EXACT(C8, "Material beneficiar pret oferta")</formula1>
    </dataValidation>
    <dataValidation type="custom" showInputMessage="1" showErrorMessage="1" errorTitle="STAI" error="Nu e voie" sqref="C9">
      <formula1>EXACT(C9, "Material demontat-remontat pret oferta")</formula1>
    </dataValidation>
    <dataValidation type="custom" showInputMessage="1" showErrorMessage="1" errorTitle="STAI" error="Nu e voie" sqref="C10">
      <formula1>EXACT(C10, "Material pret plata")</formula1>
    </dataValidation>
    <dataValidation type="custom" showInputMessage="1" showErrorMessage="1" errorTitle="STAI" error="Nu e voie" sqref="C11">
      <formula1>EXACT(C11, "Manopera pret plata")</formula1>
    </dataValidation>
    <dataValidation type="custom" showInputMessage="1" showErrorMessage="1" errorTitle="STAI" error="Nu e voie" sqref="C12">
      <formula1>EXACT(C12, "Utilaj pret plata")</formula1>
    </dataValidation>
    <dataValidation type="custom" showInputMessage="1" showErrorMessage="1" errorTitle="STAI" error="Nu e voie" sqref="C13">
      <formula1>EXACT(C13, "Transport AUTO pret plata")</formula1>
    </dataValidation>
    <dataValidation type="custom" showInputMessage="1" showErrorMessage="1" errorTitle="STAI" error="Nu e voie" sqref="C14">
      <formula1>EXACT(C14, "Transport CF pret plata")</formula1>
    </dataValidation>
    <dataValidation type="custom" showInputMessage="1" showErrorMessage="1" errorTitle="STAI" error="Nu e voie" sqref="C16">
      <formula1>EXACT(C16, "Material beneficiar pret plata")</formula1>
    </dataValidation>
    <dataValidation type="custom" showInputMessage="1" showErrorMessage="1" errorTitle="STAI" error="Nu e voie" sqref="C17">
      <formula1>EXACT(C17, "Material demontat-remontat pret plata")</formula1>
    </dataValidation>
    <dataValidation type="custom" showInputMessage="1" showErrorMessage="1" errorTitle="STAI" error="Nu e voie" sqref="C18">
      <formula1>EXACT(C18, "Greutate (T)")</formula1>
    </dataValidation>
    <dataValidation type="custom" showInputMessage="1" showErrorMessage="1" errorTitle="STAI" error="Nu e voie" sqref="C19">
      <formula1>EXACT(C19, "Ore manopera")</formula1>
    </dataValidation>
    <dataValidation type="custom" allowBlank="1" showInputMessage="1" showErrorMessage="1" errorTitle="STAI" error="Nu e voie" sqref="A36">
      <formula1>EXACT(A36,"Mat.ben se scade din total A/General [A/G]")</formula1>
    </dataValidation>
    <dataValidation type="custom" allowBlank="1" showInputMessage="1" showErrorMessage="1" errorTitle="STAI" error="Valorile posibile sunt: 'A'=Total A sau 'G'=Total general" sqref="B36">
      <formula1>OR(EXACT(B36,"A"),EXACT(B36,"G"))</formula1>
    </dataValidation>
    <dataValidation type="custom" allowBlank="1" showInputMessage="1" showErrorMessage="1" errorTitle="STAI" error="Valorile posibile sunt: 'D'=Da sau 'N'=Nul" sqref="B37">
      <formula1>OR(EXACT(B37,"D"),EXACT(B37,"N"))</formula1>
    </dataValidation>
    <dataValidation type="custom" showInputMessage="1" showErrorMessage="1" errorTitle="STAI" error="Nu e voie" sqref="A37">
      <formula1>EXACT(A37,"Explicitez cheltuielile generale ?       [D/N] ")</formula1>
    </dataValidation>
    <dataValidation showInputMessage="1" showErrorMessage="1" errorTitle="STAI" error="Nu e voie" sqref="C27 C25 C29 C31 C33 C35 C23"/>
    <dataValidation type="textLength" showInputMessage="1" showErrorMessage="1" errorTitle="Eroare:" error="Codul trebuie sa contina 1...4 caractere" sqref="D22 D24 D26">
      <formula1>1</formula1>
      <formula2>4</formula2>
    </dataValidation>
    <dataValidation type="textLength" showInputMessage="1" showErrorMessage="1" errorTitle="Eroare:" error="Codul trebuie sa contina 1...10 caractere" sqref="D28">
      <formula1>1</formula1>
      <formula2>10</formula2>
    </dataValidation>
    <dataValidation type="textLength" showInputMessage="1" showErrorMessage="1" errorTitle="Eroare:" error="Codul trebuie sa contina 1...2 caractere" sqref="D30 D32 D34">
      <formula1>1</formula1>
      <formula2>2</formula2>
    </dataValidation>
    <dataValidation type="custom" allowBlank="1" showInputMessage="1" showErrorMessage="1" errorTitle="STAI" error="Nu e voie" sqref="A33">
      <formula1>EXACT(A33, "Ordin de marime:(lei,mii,milioane)")</formula1>
    </dataValidation>
  </dataValidations>
  <pageMargins left="0.8" right="0.2" top="0.4" bottom="0.7" header="0.4" footer="0.5"/>
  <pageSetup paperSize="9" orientation="portrait" horizontalDpi="300" verticalDpi="300" r:id="rId1"/>
  <headerFooter alignWithMargins="0">
    <oddFooter>&amp;L&amp;"Lucida Handwriting"&amp;08Sistem informatic proiectat de SofteH Plus srl. Tel:323.78.37&amp;R&amp;"Lucida Handwriting"&amp;08Data listarii:&amp;D  &amp;BPag.&amp;P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Oferta</vt:lpstr>
      <vt:lpstr>Plata</vt:lpstr>
      <vt:lpstr>Date</vt:lpstr>
      <vt:lpstr>Oferta!Criteria</vt:lpstr>
      <vt:lpstr>Plata!Criteria</vt:lpstr>
      <vt:lpstr>Plata!Print_Area</vt:lpstr>
    </vt:vector>
  </TitlesOfParts>
  <Company>Softeh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</dc:creator>
  <cp:lastModifiedBy>Bogdan</cp:lastModifiedBy>
  <cp:lastPrinted>2003-03-13T15:25:42Z</cp:lastPrinted>
  <dcterms:created xsi:type="dcterms:W3CDTF">2000-06-01T11:35:50Z</dcterms:created>
  <dcterms:modified xsi:type="dcterms:W3CDTF">2014-07-11T09:04:06Z</dcterms:modified>
</cp:coreProperties>
</file>